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<sst xmlns="http://schemas.openxmlformats.org/spreadsheetml/2006/main" count="481" uniqueCount="207">
  <si>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</si>
  <si>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</si>
  <si>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</si>
  <si>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</si>
  <si>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</si>
  <si>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</si>
  <si>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</si>
  <si>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</si>
  <si>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</si>
  <si>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</si>
  <si>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</si>
  <si>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</si>
  <si>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</si>
  <si>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</si>
  <si>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</si>
  <si>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</si>
  <si>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</si>
  <si>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</si>
  <si>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</si>
  <si>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</si>
  <si>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</si>
  <si>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</si>
  <si>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</si>
  <si>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</si>
  <si>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</si>
  <si>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</si>
  <si>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</si>
  <si>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</si>
  <si>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</si>
  <si>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</si>
  <si>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</si>
  <si>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</si>
  <si>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</si>
  <si>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</si>
  <si>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</si>
  <si>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</si>
  <si>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</si>
  <si>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</si>
  <si>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</si>
  <si>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</si>
  <si>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</si>
  <si>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</si>
  <si>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</si>
  <si>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</si>
  <si>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</si>
  <si>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</si>
  <si>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</si>
  <si>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</si>
  <si>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</si>
  <si>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</si>
  <si>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</si>
  <si>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>Завтрак</t>
  </si>
  <si>
    <t xml:space="preserve">2 завтрак 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</si>
  <si>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</si>
  <si>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</si>
  <si>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</si>
  <si>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t>возраст детей</t>
  </si>
  <si>
    <t>энергетическая ценность, ккал</t>
  </si>
  <si>
    <t>белки, г</t>
  </si>
  <si>
    <t>жиры,г</t>
  </si>
  <si>
    <t>углеводы, г</t>
  </si>
  <si>
    <r>
      <t>В</t>
    </r>
    <r>
      <rPr>
        <vertAlign val="subscript"/>
        <sz val="10"/>
        <rFont val="Times New Roman"/>
        <family val="1"/>
      </rPr>
      <t>2</t>
    </r>
  </si>
  <si>
    <t>3-7 лет</t>
  </si>
  <si>
    <t>до 3 лет</t>
  </si>
  <si>
    <t xml:space="preserve">Генеральный директор                                                                                                                     </t>
  </si>
  <si>
    <t>В.П. Гусева</t>
  </si>
  <si>
    <t xml:space="preserve">Зам. директора по производству и качеству                                                              </t>
  </si>
  <si>
    <t>Р.И. Самигулова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</si>
  <si>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</si>
  <si>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</si>
  <si>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</si>
  <si>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337./04</t>
  </si>
  <si>
    <t>Яйцо вареное</t>
  </si>
  <si>
    <t>1 шт</t>
  </si>
  <si>
    <t>100/50</t>
  </si>
  <si>
    <t>11 группа: сады № 28, 30, 34, 40, 50, 50(ф), 51, 52, 54, 93, 103, 110</t>
  </si>
  <si>
    <t>3./04</t>
  </si>
  <si>
    <t>47,5- 52,5</t>
  </si>
  <si>
    <t>42,75- 47,25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</si>
  <si>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</si>
  <si>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</si>
  <si>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</si>
  <si>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</si>
  <si>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</si>
  <si>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</si>
  <si>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</si>
  <si>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</si>
  <si>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</si>
  <si>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</si>
  <si>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</si>
  <si>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</si>
  <si>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160./04</t>
  </si>
  <si>
    <t>Каша пшеничная вязкая</t>
  </si>
  <si>
    <t>124/04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</si>
  <si>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</si>
  <si>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</si>
  <si>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</si>
  <si>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</si>
  <si>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</si>
  <si>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</si>
  <si>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</si>
  <si>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</si>
  <si>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</si>
  <si>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</si>
  <si>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</si>
  <si>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</si>
  <si>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</si>
  <si>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</si>
  <si>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</si>
  <si>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 xml:space="preserve">Капуста тушеная </t>
  </si>
  <si>
    <t>Суп молочный с макаронными изделиями (вермишель)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</si>
  <si>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</si>
  <si>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</si>
  <si>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</si>
  <si>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</si>
  <si>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</si>
  <si>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</si>
  <si>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>534/04</t>
  </si>
  <si>
    <t>Каша молочная манная (жидкая) с маслом</t>
  </si>
  <si>
    <t>269./04</t>
  </si>
  <si>
    <t>Запеканка овощная с соусом сметанным</t>
  </si>
  <si>
    <t>110./04</t>
  </si>
  <si>
    <t>ТТК-317</t>
  </si>
  <si>
    <t>ТТК-62</t>
  </si>
  <si>
    <t>Салат из отварной свеклы</t>
  </si>
  <si>
    <t>ТТК-315</t>
  </si>
  <si>
    <t>1710- 1890</t>
  </si>
  <si>
    <t>51,3- 56,7</t>
  </si>
  <si>
    <t>57- 63</t>
  </si>
  <si>
    <t>247,95- 274,05</t>
  </si>
  <si>
    <t>1330- 1470</t>
  </si>
  <si>
    <t>39,9- 44,1</t>
  </si>
  <si>
    <t>44,65- 49,35</t>
  </si>
  <si>
    <t>192,85- 213,15</t>
  </si>
  <si>
    <t>ТТК-734</t>
  </si>
  <si>
    <t>Компот "Фруктовый" из кураги</t>
  </si>
  <si>
    <t>14 группа: сады № 10, 17, 20, 26, 49, 64, 72, 73, 75, 92, 96, 105, 120</t>
  </si>
  <si>
    <t>Фатхуллина Г.А.</t>
  </si>
  <si>
    <t xml:space="preserve">Зам. начальника производственного отдела </t>
  </si>
  <si>
    <t>170</t>
  </si>
  <si>
    <t>Суп молочный с пшеном</t>
  </si>
  <si>
    <t>ТТК-450</t>
  </si>
  <si>
    <t xml:space="preserve">Котлета "Камская" </t>
  </si>
  <si>
    <t>Каша рисовая вязкая</t>
  </si>
  <si>
    <r>
      <t>Щи из свежей капусты с карт. с мясн. фрикад.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со сметаной </t>
    </r>
  </si>
  <si>
    <t>Десерт фруктовый "Апельсин"</t>
  </si>
  <si>
    <t>160</t>
  </si>
  <si>
    <t>ТТК-394</t>
  </si>
  <si>
    <t>180/25</t>
  </si>
  <si>
    <t>Запеканка картофельная  с мясом птицы с соусом молочным</t>
  </si>
  <si>
    <t>130/25</t>
  </si>
  <si>
    <t>Батон  с сыром</t>
  </si>
  <si>
    <t>200/5</t>
  </si>
  <si>
    <t>150/5</t>
  </si>
  <si>
    <t>200/25/5</t>
  </si>
  <si>
    <t>150/25/5</t>
  </si>
  <si>
    <t>Компот "Фруктовый" из изюма</t>
  </si>
  <si>
    <t xml:space="preserve">Борщ из св. капусты с карт. со сметаной </t>
  </si>
  <si>
    <t>Батон с маслом с сыром</t>
  </si>
  <si>
    <t>20/5/5</t>
  </si>
  <si>
    <t>140</t>
  </si>
  <si>
    <t>50</t>
  </si>
  <si>
    <t>ТТК-301</t>
  </si>
  <si>
    <t>Каша молочная "Дружба" (жидкая) с маслом</t>
  </si>
  <si>
    <t>ТТК-650</t>
  </si>
  <si>
    <t xml:space="preserve">Котлеты "Челнинские" </t>
  </si>
  <si>
    <t>Огурец свежий порционный</t>
  </si>
  <si>
    <t>45</t>
  </si>
  <si>
    <t>135</t>
  </si>
  <si>
    <t>367./04</t>
  </si>
  <si>
    <t>Галушки из творога отварные с маслом</t>
  </si>
  <si>
    <t>195/5</t>
  </si>
  <si>
    <t>145/5</t>
  </si>
  <si>
    <t>43./04</t>
  </si>
  <si>
    <t>Салат из свежей капусты (с зел.луком)</t>
  </si>
  <si>
    <t>Молоко кипяченое с печеньем "Супер Ю"</t>
  </si>
  <si>
    <t>180/17</t>
  </si>
  <si>
    <t>Десерт фруктовый "Банан"</t>
  </si>
  <si>
    <t>135/04</t>
  </si>
  <si>
    <t xml:space="preserve">Суп из овощей  со сметаной </t>
  </si>
  <si>
    <t>ТТК-54</t>
  </si>
  <si>
    <t>139/04</t>
  </si>
  <si>
    <t xml:space="preserve">Суп картофельный с горохом </t>
  </si>
  <si>
    <t>ТТК-911</t>
  </si>
  <si>
    <t>Напиток "Цитрусовый"</t>
  </si>
  <si>
    <t>388/04</t>
  </si>
  <si>
    <t xml:space="preserve">Биточки рыбные </t>
  </si>
  <si>
    <t>133./04</t>
  </si>
  <si>
    <t xml:space="preserve">Суп картофельный с рыбными консервами </t>
  </si>
  <si>
    <t>ТТК-637</t>
  </si>
  <si>
    <t>Салат из свеж. кап. с огурцом</t>
  </si>
  <si>
    <t xml:space="preserve">Биточки рыбные "Морячка" </t>
  </si>
  <si>
    <t xml:space="preserve">Салат "Бурячок" </t>
  </si>
  <si>
    <t>А.Р. Хамидуллина</t>
  </si>
  <si>
    <t xml:space="preserve">НЕДЕЛЬНОЕ МЕНЮ ДЛЯ ОБЩЕРАЗВИВАЮЩИХ ДЕТСКИХ САДОВ С 09.07.18г по 13.07.18г    </t>
  </si>
  <si>
    <t>ПОНЕДЕЛЬНИК  09/07</t>
  </si>
  <si>
    <t>ВТОРНИК 10/07</t>
  </si>
  <si>
    <t>СРЕДА 11/07</t>
  </si>
  <si>
    <t>ЧЕТВЕРГ 12/07</t>
  </si>
  <si>
    <t>ПЯТНИЦА 13/07</t>
  </si>
  <si>
    <t>ТТК-966</t>
  </si>
  <si>
    <t>Запеканка из творога с курагой и морковью с соусом молочным сладким</t>
  </si>
  <si>
    <t>150/50</t>
  </si>
  <si>
    <t>162</t>
  </si>
  <si>
    <t>-</t>
  </si>
  <si>
    <t>152</t>
  </si>
  <si>
    <t>Л.Х. Асылмарданова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</si>
</sst>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1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26" fillId="0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/>
    </xf>
    <xf numFmtId="2" fontId="25" fillId="0" borderId="18" xfId="52" applyNumberFormat="1" applyFont="1" applyBorder="1" applyAlignment="1">
      <alignment horizontal="center" vertical="center"/>
      <protection/>
    </xf>
    <xf numFmtId="2" fontId="25" fillId="0" borderId="18" xfId="53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3" fillId="5" borderId="10" xfId="0" applyFont="1" applyFill="1" applyBorder="1" applyAlignment="1">
      <alignment vertical="top" wrapText="1"/>
    </xf>
    <xf numFmtId="2" fontId="21" fillId="0" borderId="18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/>
    </xf>
    <xf numFmtId="2" fontId="3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2" fontId="25" fillId="0" borderId="15" xfId="52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49" fontId="20" fillId="27" borderId="16" xfId="0" applyNumberFormat="1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 vertical="distributed"/>
    </xf>
    <xf numFmtId="49" fontId="20" fillId="27" borderId="10" xfId="0" applyNumberFormat="1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27" borderId="10" xfId="0" applyFont="1" applyFill="1" applyBorder="1" applyAlignment="1">
      <alignment horizontal="center" wrapText="1"/>
    </xf>
    <xf numFmtId="49" fontId="21" fillId="0" borderId="22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  <xf numFmtId="49" fontId="20" fillId="28" borderId="16" xfId="0" applyNumberFormat="1" applyFont="1" applyFill="1" applyBorder="1" applyAlignment="1">
      <alignment horizontal="center"/>
    </xf>
    <xf numFmtId="16" fontId="20" fillId="27" borderId="16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" fontId="20" fillId="27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2" fontId="25" fillId="0" borderId="15" xfId="53" applyNumberFormat="1" applyFont="1" applyFill="1" applyBorder="1" applyAlignment="1">
      <alignment horizontal="center" vertical="center"/>
      <protection/>
    </xf>
    <xf numFmtId="0" fontId="20" fillId="27" borderId="1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2" fontId="25" fillId="24" borderId="16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64" fontId="21" fillId="0" borderId="19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164" fontId="21" fillId="24" borderId="23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 vertical="center" wrapText="1"/>
    </xf>
    <xf numFmtId="2" fontId="21" fillId="0" borderId="26" xfId="0" applyNumberFormat="1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</xdr:row>
      <xdr:rowOff>9525</xdr:rowOff>
    </xdr:from>
    <xdr:to>
      <xdr:col>13</xdr:col>
      <xdr:colOff>352425</xdr:colOff>
      <xdr:row>4</xdr:row>
      <xdr:rowOff>123825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8102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177</xdr:row>
      <xdr:rowOff>9525</xdr:rowOff>
    </xdr:from>
    <xdr:to>
      <xdr:col>8</xdr:col>
      <xdr:colOff>9525</xdr:colOff>
      <xdr:row>183</xdr:row>
      <xdr:rowOff>180975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804600"/>
          <a:ext cx="1095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1"/>
  <sheetViews>
    <sheetView tabSelected="1" zoomScalePageLayoutView="0" workbookViewId="0" topLeftCell="A1">
      <selection activeCell="AE13" sqref="AE13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8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80</v>
      </c>
      <c r="N1" s="8"/>
      <c r="O1" s="70"/>
      <c r="P1" s="4"/>
      <c r="Q1"/>
      <c r="R1" s="8"/>
      <c r="S1" s="8"/>
      <c r="T1" s="8"/>
      <c r="U1" s="8"/>
      <c r="V1" s="5"/>
      <c r="W1" s="2"/>
    </row>
    <row r="2" spans="1:22" s="68" customFormat="1" ht="15" customHeight="1">
      <c r="A2" s="6" t="s">
        <v>75</v>
      </c>
      <c r="B2" s="2"/>
      <c r="C2" s="2"/>
      <c r="D2" s="2"/>
      <c r="E2" s="3"/>
      <c r="F2" s="3"/>
      <c r="G2" s="2"/>
      <c r="H2" s="8"/>
      <c r="I2" s="8"/>
      <c r="J2" s="70"/>
      <c r="K2" s="4"/>
      <c r="L2" s="8"/>
      <c r="M2" s="8" t="s">
        <v>81</v>
      </c>
      <c r="N2" s="8"/>
      <c r="O2" s="70"/>
      <c r="P2" s="8"/>
      <c r="Q2"/>
      <c r="R2" s="8"/>
      <c r="S2" s="8"/>
      <c r="T2" s="8"/>
      <c r="U2" s="4"/>
      <c r="V2" s="8"/>
    </row>
    <row r="3" spans="1:22" s="68" customFormat="1" ht="15" customHeight="1">
      <c r="A3" s="6" t="s">
        <v>84</v>
      </c>
      <c r="B3" s="2"/>
      <c r="C3" s="2"/>
      <c r="D3" s="2"/>
      <c r="E3" s="3"/>
      <c r="F3" s="3"/>
      <c r="G3" s="2"/>
      <c r="H3" s="8"/>
      <c r="I3" s="8"/>
      <c r="J3" s="70"/>
      <c r="K3" s="8"/>
      <c r="L3" s="8"/>
      <c r="M3" s="11" t="s">
        <v>82</v>
      </c>
      <c r="N3" s="8"/>
      <c r="O3" s="70"/>
      <c r="P3" s="4"/>
      <c r="Q3"/>
      <c r="R3" s="11"/>
      <c r="S3" s="8"/>
      <c r="T3" s="8"/>
      <c r="U3" s="8"/>
      <c r="V3" s="8"/>
    </row>
    <row r="4" spans="1:22" s="68" customFormat="1" ht="15" customHeight="1">
      <c r="A4" s="6" t="s">
        <v>136</v>
      </c>
      <c r="B4" s="2"/>
      <c r="C4" s="2"/>
      <c r="D4" s="2"/>
      <c r="E4" s="3"/>
      <c r="F4" s="3"/>
      <c r="G4" s="2"/>
      <c r="H4" s="11"/>
      <c r="I4" s="8"/>
      <c r="J4" s="70"/>
      <c r="K4" s="4"/>
      <c r="L4" s="8"/>
      <c r="M4" s="194"/>
      <c r="N4" s="194"/>
      <c r="O4" s="8"/>
      <c r="P4" s="8"/>
      <c r="Q4"/>
      <c r="R4" s="8"/>
      <c r="S4" s="8" t="s">
        <v>137</v>
      </c>
      <c r="T4" s="8"/>
      <c r="U4" s="4"/>
      <c r="V4" s="8"/>
    </row>
    <row r="5" spans="1:22" s="68" customFormat="1" ht="15" customHeight="1">
      <c r="A5" s="6" t="s">
        <v>85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7"/>
      <c r="N5" s="47"/>
      <c r="O5" s="76"/>
      <c r="P5" s="76"/>
      <c r="Q5" s="76"/>
      <c r="R5" s="76"/>
      <c r="S5" s="76"/>
      <c r="T5" s="76"/>
      <c r="U5" s="8"/>
      <c r="V5" s="8"/>
    </row>
    <row r="6" spans="1:20" s="68" customFormat="1" ht="15" customHeight="1">
      <c r="A6" s="6" t="s">
        <v>86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7"/>
      <c r="N6" s="76"/>
      <c r="O6" s="76"/>
      <c r="P6" s="76"/>
      <c r="Q6" s="76"/>
      <c r="R6" s="76"/>
      <c r="S6" s="76"/>
      <c r="T6" s="76"/>
    </row>
    <row r="7" spans="1:17" s="68" customFormat="1" ht="15" customHeight="1">
      <c r="A7" s="1"/>
      <c r="B7" s="2"/>
      <c r="C7" s="2"/>
      <c r="D7" s="2"/>
      <c r="E7" s="3"/>
      <c r="F7" s="3"/>
      <c r="G7" s="2"/>
      <c r="H7" s="92"/>
      <c r="I7" s="92"/>
      <c r="J7" s="92"/>
      <c r="K7" s="92"/>
      <c r="L7" s="92"/>
      <c r="M7" s="92" t="s">
        <v>0</v>
      </c>
      <c r="N7" s="92"/>
      <c r="Q7" s="92"/>
    </row>
    <row r="8" spans="1:24" s="68" customFormat="1" ht="15" customHeight="1">
      <c r="A8" s="199" t="s">
        <v>194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</row>
    <row r="9" spans="1:14" s="68" customFormat="1" ht="7.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8" customFormat="1" ht="24.75" customHeight="1">
      <c r="A10" s="191" t="s">
        <v>1</v>
      </c>
      <c r="B10" s="192" t="s">
        <v>2</v>
      </c>
      <c r="C10" s="190" t="s">
        <v>3</v>
      </c>
      <c r="D10" s="190"/>
      <c r="E10" s="193" t="s">
        <v>4</v>
      </c>
      <c r="F10" s="193"/>
      <c r="G10" s="193" t="s">
        <v>5</v>
      </c>
      <c r="H10" s="193"/>
      <c r="I10" s="193"/>
      <c r="J10" s="193"/>
      <c r="K10" s="193"/>
      <c r="L10" s="193"/>
      <c r="M10" s="190" t="s">
        <v>6</v>
      </c>
      <c r="N10" s="190"/>
      <c r="O10" s="191" t="s">
        <v>7</v>
      </c>
      <c r="P10" s="191"/>
      <c r="Q10" s="191"/>
      <c r="R10" s="191"/>
      <c r="S10" s="191"/>
      <c r="T10" s="191"/>
      <c r="U10" s="195" t="s">
        <v>8</v>
      </c>
      <c r="V10" s="195"/>
      <c r="W10" s="195"/>
      <c r="X10" s="196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ht="15" customHeight="1">
      <c r="A11" s="191"/>
      <c r="B11" s="192"/>
      <c r="C11" s="190"/>
      <c r="D11" s="190"/>
      <c r="E11" s="193"/>
      <c r="F11" s="193"/>
      <c r="G11" s="182" t="s">
        <v>9</v>
      </c>
      <c r="H11" s="182"/>
      <c r="I11" s="182" t="s">
        <v>10</v>
      </c>
      <c r="J11" s="182"/>
      <c r="K11" s="182" t="s">
        <v>11</v>
      </c>
      <c r="L11" s="182"/>
      <c r="M11" s="190"/>
      <c r="N11" s="190"/>
      <c r="O11" s="197" t="s">
        <v>79</v>
      </c>
      <c r="P11" s="197"/>
      <c r="Q11" s="197" t="s">
        <v>61</v>
      </c>
      <c r="R11" s="197"/>
      <c r="S11" s="197" t="s">
        <v>12</v>
      </c>
      <c r="T11" s="197"/>
      <c r="U11" s="197" t="s">
        <v>13</v>
      </c>
      <c r="V11" s="197"/>
      <c r="W11" s="197" t="s">
        <v>14</v>
      </c>
      <c r="X11" s="198"/>
      <c r="Y11" s="67"/>
      <c r="Z11" s="103"/>
      <c r="AA11" s="103"/>
      <c r="AB11" s="103"/>
      <c r="AC11" s="67"/>
      <c r="AD11" s="67"/>
      <c r="AE11" s="67"/>
      <c r="AF11" s="67"/>
    </row>
    <row r="12" spans="1:32" s="68" customFormat="1" ht="15" customHeight="1">
      <c r="A12" s="12" t="s">
        <v>1</v>
      </c>
      <c r="B12" s="93" t="s">
        <v>195</v>
      </c>
      <c r="C12" s="40" t="s">
        <v>15</v>
      </c>
      <c r="D12" s="40" t="s">
        <v>16</v>
      </c>
      <c r="E12" s="40" t="s">
        <v>15</v>
      </c>
      <c r="F12" s="40" t="s">
        <v>16</v>
      </c>
      <c r="G12" s="40" t="s">
        <v>15</v>
      </c>
      <c r="H12" s="40" t="s">
        <v>16</v>
      </c>
      <c r="I12" s="40" t="s">
        <v>15</v>
      </c>
      <c r="J12" s="40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40" t="s">
        <v>16</v>
      </c>
      <c r="Q12" s="40" t="s">
        <v>15</v>
      </c>
      <c r="R12" s="40" t="s">
        <v>16</v>
      </c>
      <c r="S12" s="40" t="s">
        <v>15</v>
      </c>
      <c r="T12" s="40" t="s">
        <v>16</v>
      </c>
      <c r="U12" s="40" t="s">
        <v>15</v>
      </c>
      <c r="V12" s="40" t="s">
        <v>16</v>
      </c>
      <c r="W12" s="40" t="s">
        <v>15</v>
      </c>
      <c r="X12" s="94" t="s">
        <v>16</v>
      </c>
      <c r="Y12" s="67"/>
      <c r="Z12" s="103"/>
      <c r="AA12" s="103"/>
      <c r="AB12" s="103"/>
      <c r="AC12" s="67"/>
      <c r="AD12" s="67"/>
      <c r="AE12" s="67"/>
      <c r="AF12" s="67"/>
    </row>
    <row r="13" spans="1:32" ht="15" customHeight="1">
      <c r="A13" s="12"/>
      <c r="B13" s="95" t="s">
        <v>17</v>
      </c>
      <c r="C13" s="96"/>
      <c r="D13" s="9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81"/>
      <c r="Y13" s="22"/>
      <c r="Z13" s="37"/>
      <c r="AA13" s="37"/>
      <c r="AB13" s="37"/>
      <c r="AC13" s="22"/>
      <c r="AD13" s="22"/>
      <c r="AE13" s="22"/>
      <c r="AF13" s="22"/>
    </row>
    <row r="14" spans="1:30" s="32" customFormat="1" ht="14.25" customHeight="1">
      <c r="A14" s="129" t="s">
        <v>76</v>
      </c>
      <c r="B14" s="59" t="s">
        <v>158</v>
      </c>
      <c r="C14" s="60" t="s">
        <v>159</v>
      </c>
      <c r="D14" s="60" t="s">
        <v>159</v>
      </c>
      <c r="E14" s="61">
        <v>6.68</v>
      </c>
      <c r="F14" s="61">
        <v>6.68</v>
      </c>
      <c r="G14" s="61">
        <v>2.93</v>
      </c>
      <c r="H14" s="62">
        <v>2.93</v>
      </c>
      <c r="I14" s="61">
        <v>6.05</v>
      </c>
      <c r="J14" s="62">
        <v>6.05</v>
      </c>
      <c r="K14" s="61">
        <v>10.4</v>
      </c>
      <c r="L14" s="62">
        <v>10.4</v>
      </c>
      <c r="M14" s="61">
        <v>107.77</v>
      </c>
      <c r="N14" s="62">
        <v>107.77</v>
      </c>
      <c r="O14" s="62">
        <v>0.08</v>
      </c>
      <c r="P14" s="62">
        <f>O14*40/60</f>
        <v>0.05333333333333334</v>
      </c>
      <c r="Q14" s="62">
        <v>0.06</v>
      </c>
      <c r="R14" s="62">
        <f>Q14*40/60</f>
        <v>0.04</v>
      </c>
      <c r="S14" s="61">
        <v>0.14</v>
      </c>
      <c r="T14" s="62">
        <v>0.14</v>
      </c>
      <c r="U14" s="62">
        <v>70.8</v>
      </c>
      <c r="V14" s="62">
        <f>U14*40/60</f>
        <v>47.2</v>
      </c>
      <c r="W14" s="62">
        <v>0.81</v>
      </c>
      <c r="X14" s="89">
        <f>W14*40/60</f>
        <v>0.5400000000000001</v>
      </c>
      <c r="Y14" s="87"/>
      <c r="Z14" s="37"/>
      <c r="AA14" s="37"/>
      <c r="AB14" s="37"/>
      <c r="AC14" s="37"/>
      <c r="AD14" s="37"/>
    </row>
    <row r="15" spans="1:29" ht="15" customHeight="1">
      <c r="A15" s="129" t="s">
        <v>18</v>
      </c>
      <c r="B15" s="59" t="s">
        <v>92</v>
      </c>
      <c r="C15" s="60" t="s">
        <v>21</v>
      </c>
      <c r="D15" s="60" t="s">
        <v>22</v>
      </c>
      <c r="E15" s="61">
        <v>4.36</v>
      </c>
      <c r="F15" s="61">
        <v>3.27</v>
      </c>
      <c r="G15" s="61">
        <v>5.26</v>
      </c>
      <c r="H15" s="61">
        <v>3.95</v>
      </c>
      <c r="I15" s="61">
        <v>5.26</v>
      </c>
      <c r="J15" s="62">
        <v>3.95</v>
      </c>
      <c r="K15" s="61">
        <v>32.32</v>
      </c>
      <c r="L15" s="62">
        <v>24.24</v>
      </c>
      <c r="M15" s="61">
        <v>197.6</v>
      </c>
      <c r="N15" s="62">
        <v>148.3</v>
      </c>
      <c r="O15" s="61">
        <f>P15*200/150</f>
        <v>0.12</v>
      </c>
      <c r="P15" s="63">
        <v>0.09</v>
      </c>
      <c r="Q15" s="61">
        <f>R15*200/150</f>
        <v>0.04</v>
      </c>
      <c r="R15" s="63">
        <v>0.03</v>
      </c>
      <c r="S15" s="63">
        <v>0</v>
      </c>
      <c r="T15" s="63">
        <v>0</v>
      </c>
      <c r="U15" s="61">
        <f>V15*200/150</f>
        <v>1.5466666666666664</v>
      </c>
      <c r="V15" s="63">
        <v>1.16</v>
      </c>
      <c r="W15" s="61">
        <f>X15*200/150</f>
        <v>0.72</v>
      </c>
      <c r="X15" s="111">
        <v>0.54</v>
      </c>
      <c r="Y15" s="88"/>
      <c r="Z15" s="22"/>
      <c r="AA15" s="22"/>
      <c r="AB15" s="22"/>
      <c r="AC15" s="22"/>
    </row>
    <row r="16" spans="1:31" ht="15" customHeight="1">
      <c r="A16" s="129" t="s">
        <v>19</v>
      </c>
      <c r="B16" s="59" t="s">
        <v>20</v>
      </c>
      <c r="C16" s="60" t="s">
        <v>21</v>
      </c>
      <c r="D16" s="60" t="s">
        <v>22</v>
      </c>
      <c r="E16" s="61">
        <v>1.89</v>
      </c>
      <c r="F16" s="61">
        <v>1.42</v>
      </c>
      <c r="G16" s="63">
        <v>0</v>
      </c>
      <c r="H16" s="69">
        <v>0</v>
      </c>
      <c r="I16" s="63">
        <v>0</v>
      </c>
      <c r="J16" s="69">
        <f>I16*150/200</f>
        <v>0</v>
      </c>
      <c r="K16" s="63">
        <v>30.6</v>
      </c>
      <c r="L16" s="69">
        <f>K16*150/200</f>
        <v>22.95</v>
      </c>
      <c r="M16" s="63">
        <v>118</v>
      </c>
      <c r="N16" s="69">
        <v>88.5</v>
      </c>
      <c r="O16" s="65">
        <v>0</v>
      </c>
      <c r="P16" s="69">
        <f>O16*150/200</f>
        <v>0</v>
      </c>
      <c r="Q16" s="65">
        <v>0</v>
      </c>
      <c r="R16" s="69">
        <f>Q16*150/200</f>
        <v>0</v>
      </c>
      <c r="S16" s="65">
        <v>0</v>
      </c>
      <c r="T16" s="69">
        <f>S16*150/200</f>
        <v>0</v>
      </c>
      <c r="U16" s="65">
        <v>0.2</v>
      </c>
      <c r="V16" s="69">
        <f>U16*150/200</f>
        <v>0.15</v>
      </c>
      <c r="W16" s="65">
        <v>0.03</v>
      </c>
      <c r="X16" s="69">
        <f>W16*150/200</f>
        <v>0.0225</v>
      </c>
      <c r="Y16" s="22"/>
      <c r="Z16" s="22"/>
      <c r="AA16" s="22"/>
      <c r="AB16" s="22"/>
      <c r="AC16" s="22"/>
      <c r="AD16" s="22"/>
      <c r="AE16" s="22"/>
    </row>
    <row r="17" spans="1:32" ht="15" customHeight="1">
      <c r="A17" s="16"/>
      <c r="B17" s="17" t="s">
        <v>23</v>
      </c>
      <c r="C17" s="18"/>
      <c r="D17" s="18"/>
      <c r="E17" s="28">
        <f>SUM(E14:E16)</f>
        <v>12.93</v>
      </c>
      <c r="F17" s="28">
        <f>SUM(F14:F16)</f>
        <v>11.37</v>
      </c>
      <c r="G17" s="28">
        <f aca="true" t="shared" si="0" ref="G17:T17">SUM(G14:G16)</f>
        <v>8.19</v>
      </c>
      <c r="H17" s="28">
        <f t="shared" si="0"/>
        <v>6.880000000000001</v>
      </c>
      <c r="I17" s="28">
        <f t="shared" si="0"/>
        <v>11.309999999999999</v>
      </c>
      <c r="J17" s="28">
        <f t="shared" si="0"/>
        <v>10</v>
      </c>
      <c r="K17" s="28">
        <f t="shared" si="0"/>
        <v>73.32</v>
      </c>
      <c r="L17" s="28">
        <f t="shared" si="0"/>
        <v>57.59</v>
      </c>
      <c r="M17" s="28">
        <f t="shared" si="0"/>
        <v>423.37</v>
      </c>
      <c r="N17" s="28">
        <f t="shared" si="0"/>
        <v>344.57</v>
      </c>
      <c r="O17" s="28">
        <f t="shared" si="0"/>
        <v>0.2</v>
      </c>
      <c r="P17" s="28">
        <f t="shared" si="0"/>
        <v>0.14333333333333334</v>
      </c>
      <c r="Q17" s="28">
        <f t="shared" si="0"/>
        <v>0.1</v>
      </c>
      <c r="R17" s="28">
        <f t="shared" si="0"/>
        <v>0.07</v>
      </c>
      <c r="S17" s="28">
        <f t="shared" si="0"/>
        <v>0.14</v>
      </c>
      <c r="T17" s="28">
        <f t="shared" si="0"/>
        <v>0.14</v>
      </c>
      <c r="U17" s="28">
        <f>SUM(U14:U16)</f>
        <v>72.54666666666667</v>
      </c>
      <c r="V17" s="28">
        <f>SUM(V14:V16)</f>
        <v>48.51</v>
      </c>
      <c r="W17" s="28">
        <f>SUM(W14:W16)</f>
        <v>1.56</v>
      </c>
      <c r="X17" s="83">
        <f>SUM(X14:X16)</f>
        <v>1.1025</v>
      </c>
      <c r="Y17" s="80"/>
      <c r="Z17" s="80"/>
      <c r="AA17" s="80"/>
      <c r="AB17" s="80"/>
      <c r="AC17" s="80"/>
      <c r="AD17" s="80"/>
      <c r="AE17" s="80"/>
      <c r="AF17" s="22"/>
    </row>
    <row r="18" spans="1:32" ht="15" customHeight="1">
      <c r="A18" s="16"/>
      <c r="B18" s="95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84"/>
      <c r="Y18" s="22"/>
      <c r="Z18" s="37"/>
      <c r="AA18" s="37"/>
      <c r="AB18" s="37"/>
      <c r="AC18" s="22"/>
      <c r="AD18" s="22"/>
      <c r="AE18" s="22"/>
      <c r="AF18" s="22"/>
    </row>
    <row r="19" spans="1:31" s="32" customFormat="1" ht="15" customHeight="1">
      <c r="A19" s="130" t="s">
        <v>25</v>
      </c>
      <c r="B19" s="17" t="s">
        <v>70</v>
      </c>
      <c r="C19" s="18" t="s">
        <v>139</v>
      </c>
      <c r="D19" s="18" t="s">
        <v>139</v>
      </c>
      <c r="E19" s="19">
        <v>4.8</v>
      </c>
      <c r="F19" s="19">
        <v>4.8</v>
      </c>
      <c r="G19" s="25">
        <v>0</v>
      </c>
      <c r="H19" s="26">
        <v>0</v>
      </c>
      <c r="I19" s="25">
        <f>J19*180/150</f>
        <v>0</v>
      </c>
      <c r="J19" s="26">
        <v>0</v>
      </c>
      <c r="K19" s="25">
        <v>11.4</v>
      </c>
      <c r="L19" s="26">
        <v>10.2</v>
      </c>
      <c r="M19" s="25">
        <v>45.6</v>
      </c>
      <c r="N19" s="26">
        <v>40.8</v>
      </c>
      <c r="O19" s="25">
        <f>P19*180/150</f>
        <v>0</v>
      </c>
      <c r="P19" s="26">
        <v>0</v>
      </c>
      <c r="Q19" s="25">
        <f>R19*180/150</f>
        <v>0.024</v>
      </c>
      <c r="R19" s="26">
        <v>0.02</v>
      </c>
      <c r="S19" s="25">
        <v>3.8</v>
      </c>
      <c r="T19" s="26">
        <v>3.4</v>
      </c>
      <c r="U19" s="25">
        <f>V19*180/150</f>
        <v>9.996</v>
      </c>
      <c r="V19" s="26">
        <v>8.33</v>
      </c>
      <c r="W19" s="25">
        <f>X19*180/150</f>
        <v>0.252</v>
      </c>
      <c r="X19" s="86">
        <v>0.21</v>
      </c>
      <c r="Y19" s="37"/>
      <c r="Z19" s="37"/>
      <c r="AA19" s="37"/>
      <c r="AB19" s="37"/>
      <c r="AC19" s="37"/>
      <c r="AD19" s="37"/>
      <c r="AE19" s="37"/>
    </row>
    <row r="20" spans="1:32" ht="15" customHeight="1">
      <c r="A20" s="16"/>
      <c r="B20" s="17" t="s">
        <v>23</v>
      </c>
      <c r="C20" s="18"/>
      <c r="D20" s="18"/>
      <c r="E20" s="28">
        <f>SUM(E19)</f>
        <v>4.8</v>
      </c>
      <c r="F20" s="28">
        <f>SUM(F19)</f>
        <v>4.8</v>
      </c>
      <c r="G20" s="28">
        <f aca="true" t="shared" si="1" ref="G20:T20">SUM(G19)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11.4</v>
      </c>
      <c r="L20" s="28">
        <f t="shared" si="1"/>
        <v>10.2</v>
      </c>
      <c r="M20" s="28">
        <f t="shared" si="1"/>
        <v>45.6</v>
      </c>
      <c r="N20" s="28">
        <f t="shared" si="1"/>
        <v>40.8</v>
      </c>
      <c r="O20" s="28">
        <f t="shared" si="1"/>
        <v>0</v>
      </c>
      <c r="P20" s="28">
        <f t="shared" si="1"/>
        <v>0</v>
      </c>
      <c r="Q20" s="28">
        <f t="shared" si="1"/>
        <v>0.024</v>
      </c>
      <c r="R20" s="28">
        <f t="shared" si="1"/>
        <v>0.02</v>
      </c>
      <c r="S20" s="28">
        <f t="shared" si="1"/>
        <v>3.8</v>
      </c>
      <c r="T20" s="28">
        <f t="shared" si="1"/>
        <v>3.4</v>
      </c>
      <c r="U20" s="28">
        <f aca="true" t="shared" si="2" ref="U20:AB20">SUM(U19)</f>
        <v>9.996</v>
      </c>
      <c r="V20" s="28">
        <f t="shared" si="2"/>
        <v>8.33</v>
      </c>
      <c r="W20" s="28">
        <f t="shared" si="2"/>
        <v>0.252</v>
      </c>
      <c r="X20" s="28">
        <f t="shared" si="2"/>
        <v>0.21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80"/>
      <c r="AD20" s="22"/>
      <c r="AE20" s="22"/>
      <c r="AF20" s="22"/>
    </row>
    <row r="21" spans="1:32" ht="15" customHeight="1">
      <c r="A21" s="16"/>
      <c r="B21" s="95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9"/>
      <c r="P21" s="29"/>
      <c r="Q21" s="29"/>
      <c r="R21" s="29"/>
      <c r="S21" s="29"/>
      <c r="T21" s="29"/>
      <c r="U21" s="29"/>
      <c r="V21" s="29"/>
      <c r="W21" s="29"/>
      <c r="X21" s="84"/>
      <c r="Y21" s="22"/>
      <c r="Z21" s="37"/>
      <c r="AA21" s="37"/>
      <c r="AB21" s="37"/>
      <c r="AC21" s="22"/>
      <c r="AD21" s="22"/>
      <c r="AE21" s="22"/>
      <c r="AF21" s="22"/>
    </row>
    <row r="22" spans="1:24" ht="15.75" customHeight="1">
      <c r="A22" s="134" t="s">
        <v>123</v>
      </c>
      <c r="B22" s="59" t="s">
        <v>124</v>
      </c>
      <c r="C22" s="60" t="s">
        <v>161</v>
      </c>
      <c r="D22" s="60" t="s">
        <v>167</v>
      </c>
      <c r="E22" s="61">
        <v>3.27</v>
      </c>
      <c r="F22" s="61">
        <v>2.94</v>
      </c>
      <c r="G22" s="124">
        <v>0.5</v>
      </c>
      <c r="H22" s="125">
        <f>G22*45/50</f>
        <v>0.45</v>
      </c>
      <c r="I22" s="124">
        <v>3</v>
      </c>
      <c r="J22" s="125">
        <f>I22*45/50</f>
        <v>2.7</v>
      </c>
      <c r="K22" s="124">
        <v>4</v>
      </c>
      <c r="L22" s="125">
        <f>K22*45/50</f>
        <v>3.6</v>
      </c>
      <c r="M22" s="124">
        <v>45</v>
      </c>
      <c r="N22" s="125">
        <f>M22*45/50</f>
        <v>40.5</v>
      </c>
      <c r="O22" s="124">
        <v>0.01</v>
      </c>
      <c r="P22" s="125">
        <v>0</v>
      </c>
      <c r="Q22" s="124">
        <v>0.02</v>
      </c>
      <c r="R22" s="125">
        <v>0</v>
      </c>
      <c r="S22" s="124">
        <v>4.76</v>
      </c>
      <c r="T22" s="125">
        <f>S22*45/50</f>
        <v>4.284</v>
      </c>
      <c r="U22" s="124">
        <v>20.69</v>
      </c>
      <c r="V22" s="125">
        <v>0</v>
      </c>
      <c r="W22" s="124">
        <v>0.78</v>
      </c>
      <c r="X22" s="125">
        <v>0</v>
      </c>
    </row>
    <row r="23" spans="1:31" s="31" customFormat="1" ht="25.5">
      <c r="A23" s="130" t="s">
        <v>93</v>
      </c>
      <c r="B23" s="23" t="s">
        <v>144</v>
      </c>
      <c r="C23" s="18" t="s">
        <v>154</v>
      </c>
      <c r="D23" s="18" t="s">
        <v>155</v>
      </c>
      <c r="E23" s="19">
        <v>13.65</v>
      </c>
      <c r="F23" s="19">
        <v>12.77</v>
      </c>
      <c r="G23" s="25">
        <v>5.49</v>
      </c>
      <c r="H23" s="25">
        <v>5.09</v>
      </c>
      <c r="I23" s="25">
        <v>8.19</v>
      </c>
      <c r="J23" s="25">
        <v>7.33</v>
      </c>
      <c r="K23" s="25">
        <v>8.16</v>
      </c>
      <c r="L23" s="25">
        <v>6.16</v>
      </c>
      <c r="M23" s="25">
        <v>128.31</v>
      </c>
      <c r="N23" s="25">
        <v>110.97</v>
      </c>
      <c r="O23" s="20">
        <v>0.11</v>
      </c>
      <c r="P23" s="20">
        <v>0.12</v>
      </c>
      <c r="Q23" s="20">
        <v>0.09</v>
      </c>
      <c r="R23" s="20">
        <v>0.1</v>
      </c>
      <c r="S23" s="25">
        <v>15.06</v>
      </c>
      <c r="T23" s="20">
        <v>11.37</v>
      </c>
      <c r="U23" s="20">
        <v>27.92</v>
      </c>
      <c r="V23" s="20">
        <v>23.55</v>
      </c>
      <c r="W23" s="20">
        <v>1.84</v>
      </c>
      <c r="X23" s="20">
        <v>2.01</v>
      </c>
      <c r="Z23" s="30"/>
      <c r="AA23" s="30"/>
      <c r="AB23" s="30"/>
      <c r="AC23" s="30"/>
      <c r="AD23" s="30"/>
      <c r="AE23" s="30"/>
    </row>
    <row r="24" spans="1:31" ht="39" customHeight="1">
      <c r="A24" s="142" t="s">
        <v>147</v>
      </c>
      <c r="B24" s="59" t="s">
        <v>149</v>
      </c>
      <c r="C24" s="60" t="s">
        <v>148</v>
      </c>
      <c r="D24" s="60" t="s">
        <v>150</v>
      </c>
      <c r="E24" s="61">
        <v>25.62</v>
      </c>
      <c r="F24" s="61">
        <v>18.89</v>
      </c>
      <c r="G24" s="61">
        <v>13.25</v>
      </c>
      <c r="H24" s="62">
        <v>9.8</v>
      </c>
      <c r="I24" s="61">
        <v>23.72</v>
      </c>
      <c r="J24" s="62">
        <v>17.88</v>
      </c>
      <c r="K24" s="62">
        <v>49.81</v>
      </c>
      <c r="L24" s="62">
        <v>36.7</v>
      </c>
      <c r="M24" s="62">
        <v>465.72</v>
      </c>
      <c r="N24" s="62">
        <v>346.92</v>
      </c>
      <c r="O24" s="62">
        <v>0.26</v>
      </c>
      <c r="P24" s="62">
        <v>0.19</v>
      </c>
      <c r="Q24" s="62">
        <v>0.17</v>
      </c>
      <c r="R24" s="62">
        <v>0.16</v>
      </c>
      <c r="S24" s="62">
        <v>4.26</v>
      </c>
      <c r="T24" s="62">
        <v>3.08</v>
      </c>
      <c r="U24" s="62">
        <v>25.1</v>
      </c>
      <c r="V24" s="62">
        <v>29.43</v>
      </c>
      <c r="W24" s="62">
        <v>4.1</v>
      </c>
      <c r="X24" s="62">
        <v>3.43</v>
      </c>
      <c r="Y24" s="22"/>
      <c r="Z24" s="22"/>
      <c r="AA24" s="22"/>
      <c r="AB24" s="22"/>
      <c r="AC24" s="22"/>
      <c r="AD24" s="22"/>
      <c r="AE24" s="22"/>
    </row>
    <row r="25" spans="1:31" ht="27" customHeight="1">
      <c r="A25" s="132" t="s">
        <v>122</v>
      </c>
      <c r="B25" s="38" t="s">
        <v>116</v>
      </c>
      <c r="C25" s="24">
        <v>200</v>
      </c>
      <c r="D25" s="24">
        <v>150</v>
      </c>
      <c r="E25" s="19">
        <v>1.62</v>
      </c>
      <c r="F25" s="19">
        <v>1.22</v>
      </c>
      <c r="G25" s="19">
        <v>0.6</v>
      </c>
      <c r="H25" s="20">
        <f>G25*150/200</f>
        <v>0.45</v>
      </c>
      <c r="I25" s="19">
        <v>0</v>
      </c>
      <c r="J25" s="20">
        <f>I25*150/200</f>
        <v>0</v>
      </c>
      <c r="K25" s="19">
        <v>31.4</v>
      </c>
      <c r="L25" s="20">
        <f>K25*150/200</f>
        <v>23.55</v>
      </c>
      <c r="M25" s="19">
        <v>124</v>
      </c>
      <c r="N25" s="20">
        <f>M25*150/200</f>
        <v>93</v>
      </c>
      <c r="O25" s="20">
        <v>0.02</v>
      </c>
      <c r="P25" s="20">
        <f>O25*150/200</f>
        <v>0.015</v>
      </c>
      <c r="Q25" s="20">
        <v>0.03</v>
      </c>
      <c r="R25" s="20">
        <f>Q25*150/200</f>
        <v>0.0225</v>
      </c>
      <c r="S25" s="20">
        <v>0.45</v>
      </c>
      <c r="T25" s="20">
        <f>S25*150/200</f>
        <v>0.3375</v>
      </c>
      <c r="U25" s="20">
        <v>12.3</v>
      </c>
      <c r="V25" s="20">
        <f>U25*150/200</f>
        <v>9.225</v>
      </c>
      <c r="W25" s="39">
        <v>2</v>
      </c>
      <c r="X25" s="82">
        <f>W25*150/200</f>
        <v>1.5</v>
      </c>
      <c r="Y25" s="22"/>
      <c r="Z25" s="22"/>
      <c r="AA25" s="22"/>
      <c r="AB25" s="22"/>
      <c r="AC25" s="22"/>
      <c r="AD25" s="22"/>
      <c r="AE25" s="22"/>
    </row>
    <row r="26" spans="1:31" s="68" customFormat="1" ht="15" customHeight="1">
      <c r="A26" s="129"/>
      <c r="B26" s="59" t="s">
        <v>30</v>
      </c>
      <c r="C26" s="60" t="s">
        <v>31</v>
      </c>
      <c r="D26" s="60" t="s">
        <v>31</v>
      </c>
      <c r="E26" s="61">
        <v>1.11</v>
      </c>
      <c r="F26" s="61">
        <v>1.11</v>
      </c>
      <c r="G26" s="61">
        <v>1.6</v>
      </c>
      <c r="H26" s="61">
        <v>1.6</v>
      </c>
      <c r="I26" s="61">
        <v>0.4</v>
      </c>
      <c r="J26" s="61">
        <v>0.4</v>
      </c>
      <c r="K26" s="61">
        <v>10</v>
      </c>
      <c r="L26" s="61">
        <v>10</v>
      </c>
      <c r="M26" s="62">
        <v>54</v>
      </c>
      <c r="N26" s="62">
        <v>54</v>
      </c>
      <c r="O26" s="65">
        <v>0.04</v>
      </c>
      <c r="P26" s="66">
        <v>0.04</v>
      </c>
      <c r="Q26" s="65">
        <v>0.02</v>
      </c>
      <c r="R26" s="66">
        <v>0.02</v>
      </c>
      <c r="S26" s="65">
        <v>0</v>
      </c>
      <c r="T26" s="66">
        <v>0</v>
      </c>
      <c r="U26" s="65">
        <v>7.4</v>
      </c>
      <c r="V26" s="66">
        <v>7.4</v>
      </c>
      <c r="W26" s="65">
        <v>0.56</v>
      </c>
      <c r="X26" s="66">
        <v>0.56</v>
      </c>
      <c r="Y26" s="67"/>
      <c r="Z26" s="67"/>
      <c r="AA26" s="67"/>
      <c r="AB26" s="67"/>
      <c r="AC26" s="67"/>
      <c r="AD26" s="67"/>
      <c r="AE26" s="67"/>
    </row>
    <row r="27" spans="1:31" ht="15" customHeight="1">
      <c r="A27" s="129"/>
      <c r="B27" s="59" t="s">
        <v>32</v>
      </c>
      <c r="C27" s="60" t="s">
        <v>89</v>
      </c>
      <c r="D27" s="60" t="s">
        <v>90</v>
      </c>
      <c r="E27" s="61">
        <v>2.09</v>
      </c>
      <c r="F27" s="61">
        <v>1.83</v>
      </c>
      <c r="G27" s="61">
        <v>3.25</v>
      </c>
      <c r="H27" s="62">
        <v>2.84</v>
      </c>
      <c r="I27" s="62">
        <v>0.46</v>
      </c>
      <c r="J27" s="62">
        <f>I27*40.6/46</f>
        <v>0.406</v>
      </c>
      <c r="K27" s="62">
        <v>20.88</v>
      </c>
      <c r="L27" s="62">
        <v>18.27</v>
      </c>
      <c r="M27" s="62">
        <v>102.08</v>
      </c>
      <c r="N27" s="62">
        <v>89.32</v>
      </c>
      <c r="O27" s="63">
        <v>0.06</v>
      </c>
      <c r="P27" s="69">
        <v>0.04</v>
      </c>
      <c r="Q27" s="63">
        <v>0.04</v>
      </c>
      <c r="R27" s="69">
        <v>0.03</v>
      </c>
      <c r="S27" s="63">
        <v>0</v>
      </c>
      <c r="T27" s="62">
        <f>S27*40.6/46</f>
        <v>0</v>
      </c>
      <c r="U27" s="65">
        <v>17</v>
      </c>
      <c r="V27" s="66">
        <v>13.6</v>
      </c>
      <c r="W27" s="65">
        <v>1.15</v>
      </c>
      <c r="X27" s="66">
        <v>0.92</v>
      </c>
      <c r="Y27" s="22"/>
      <c r="Z27" s="22"/>
      <c r="AA27" s="22"/>
      <c r="AB27" s="22"/>
      <c r="AC27" s="22"/>
      <c r="AD27" s="22"/>
      <c r="AE27" s="22"/>
    </row>
    <row r="28" spans="1:32" ht="15" customHeight="1">
      <c r="A28" s="16"/>
      <c r="B28" s="17" t="s">
        <v>23</v>
      </c>
      <c r="C28" s="18"/>
      <c r="D28" s="18"/>
      <c r="E28" s="28">
        <f>SUM(E22:E27)</f>
        <v>47.36</v>
      </c>
      <c r="F28" s="28">
        <f>SUM(F22:F27)</f>
        <v>38.76</v>
      </c>
      <c r="G28" s="28">
        <f>SUM(G22:G27)-2</f>
        <v>22.690000000000005</v>
      </c>
      <c r="H28" s="28">
        <f>SUM(H22:H27)-1</f>
        <v>19.23</v>
      </c>
      <c r="I28" s="28">
        <f aca="true" t="shared" si="3" ref="I28:T28">SUM(I22:I27)</f>
        <v>35.769999999999996</v>
      </c>
      <c r="J28" s="28">
        <f t="shared" si="3"/>
        <v>28.715999999999998</v>
      </c>
      <c r="K28" s="28">
        <f t="shared" si="3"/>
        <v>124.25</v>
      </c>
      <c r="L28" s="28">
        <f t="shared" si="3"/>
        <v>98.28</v>
      </c>
      <c r="M28" s="28">
        <f>SUM(M22:M27)-0</f>
        <v>919.11</v>
      </c>
      <c r="N28" s="28">
        <f>SUM(N22:N27)-42</f>
        <v>692.71</v>
      </c>
      <c r="O28" s="28">
        <f t="shared" si="3"/>
        <v>0.5</v>
      </c>
      <c r="P28" s="28">
        <f t="shared" si="3"/>
        <v>0.40499999999999997</v>
      </c>
      <c r="Q28" s="28">
        <f t="shared" si="3"/>
        <v>0.37000000000000005</v>
      </c>
      <c r="R28" s="28">
        <f t="shared" si="3"/>
        <v>0.3325</v>
      </c>
      <c r="S28" s="28">
        <f t="shared" si="3"/>
        <v>24.529999999999998</v>
      </c>
      <c r="T28" s="28">
        <f t="shared" si="3"/>
        <v>19.0715</v>
      </c>
      <c r="U28" s="28">
        <f aca="true" t="shared" si="4" ref="U28:AB28">SUM(U22:U27)</f>
        <v>110.41000000000001</v>
      </c>
      <c r="V28" s="28">
        <f t="shared" si="4"/>
        <v>83.205</v>
      </c>
      <c r="W28" s="28">
        <f t="shared" si="4"/>
        <v>10.43</v>
      </c>
      <c r="X28" s="28">
        <f t="shared" si="4"/>
        <v>8.42</v>
      </c>
      <c r="Y28" s="28">
        <f t="shared" si="4"/>
        <v>0</v>
      </c>
      <c r="Z28" s="28">
        <f t="shared" si="4"/>
        <v>0</v>
      </c>
      <c r="AA28" s="28">
        <f t="shared" si="4"/>
        <v>0</v>
      </c>
      <c r="AB28" s="28">
        <f t="shared" si="4"/>
        <v>0</v>
      </c>
      <c r="AC28" s="80"/>
      <c r="AD28" s="22"/>
      <c r="AE28" s="22"/>
      <c r="AF28" s="22"/>
    </row>
    <row r="29" spans="1:32" ht="15" customHeight="1">
      <c r="A29" s="16"/>
      <c r="B29" s="95" t="s">
        <v>33</v>
      </c>
      <c r="C29" s="18"/>
      <c r="D29" s="18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9"/>
      <c r="P29" s="29"/>
      <c r="Q29" s="29"/>
      <c r="R29" s="29"/>
      <c r="S29" s="29"/>
      <c r="T29" s="29"/>
      <c r="U29" s="29"/>
      <c r="V29" s="29"/>
      <c r="W29" s="29"/>
      <c r="X29" s="84"/>
      <c r="Y29" s="22"/>
      <c r="Z29" s="37"/>
      <c r="AA29" s="37"/>
      <c r="AB29" s="37"/>
      <c r="AC29" s="22"/>
      <c r="AD29" s="22"/>
      <c r="AE29" s="22"/>
      <c r="AF29" s="22"/>
    </row>
    <row r="30" spans="1:31" ht="17.25" customHeight="1">
      <c r="A30" s="129" t="s">
        <v>34</v>
      </c>
      <c r="B30" s="59" t="s">
        <v>35</v>
      </c>
      <c r="C30" s="60" t="s">
        <v>26</v>
      </c>
      <c r="D30" s="60" t="s">
        <v>26</v>
      </c>
      <c r="E30" s="61">
        <v>10.36</v>
      </c>
      <c r="F30" s="61">
        <v>10.36</v>
      </c>
      <c r="G30" s="145">
        <v>6.75</v>
      </c>
      <c r="H30" s="62">
        <v>6.75</v>
      </c>
      <c r="I30" s="145">
        <v>7.02</v>
      </c>
      <c r="J30" s="62">
        <v>7.02</v>
      </c>
      <c r="K30" s="145">
        <v>21.15</v>
      </c>
      <c r="L30" s="62">
        <v>21.15</v>
      </c>
      <c r="M30" s="145">
        <v>174.78</v>
      </c>
      <c r="N30" s="62">
        <v>174.78</v>
      </c>
      <c r="O30" s="145">
        <v>0.1</v>
      </c>
      <c r="P30" s="62">
        <f>O30*215/230</f>
        <v>0.09347826086956522</v>
      </c>
      <c r="Q30" s="145">
        <v>0.29</v>
      </c>
      <c r="R30" s="62">
        <f>Q30*215/230</f>
        <v>0.2710869565217391</v>
      </c>
      <c r="S30" s="145">
        <v>2.46</v>
      </c>
      <c r="T30" s="62">
        <v>2.46</v>
      </c>
      <c r="U30" s="61">
        <v>275.74</v>
      </c>
      <c r="V30" s="62">
        <v>275.74</v>
      </c>
      <c r="W30" s="61">
        <v>0.23</v>
      </c>
      <c r="X30" s="62">
        <v>0.23</v>
      </c>
      <c r="Y30" s="37"/>
      <c r="Z30" s="37"/>
      <c r="AA30" s="37"/>
      <c r="AB30" s="37"/>
      <c r="AC30" s="37"/>
      <c r="AD30" s="37"/>
      <c r="AE30" s="22"/>
    </row>
    <row r="31" spans="1:29" s="78" customFormat="1" ht="15" customHeight="1">
      <c r="A31" s="16"/>
      <c r="B31" s="17" t="s">
        <v>23</v>
      </c>
      <c r="C31" s="18"/>
      <c r="D31" s="18"/>
      <c r="E31" s="28">
        <f>SUM(E30)</f>
        <v>10.36</v>
      </c>
      <c r="F31" s="28">
        <f>SUM(F30)</f>
        <v>10.36</v>
      </c>
      <c r="G31" s="28">
        <f aca="true" t="shared" si="5" ref="G31:T31">SUM(G30)</f>
        <v>6.75</v>
      </c>
      <c r="H31" s="28">
        <f t="shared" si="5"/>
        <v>6.75</v>
      </c>
      <c r="I31" s="28">
        <f t="shared" si="5"/>
        <v>7.02</v>
      </c>
      <c r="J31" s="28">
        <f t="shared" si="5"/>
        <v>7.02</v>
      </c>
      <c r="K31" s="28">
        <f t="shared" si="5"/>
        <v>21.15</v>
      </c>
      <c r="L31" s="28">
        <f t="shared" si="5"/>
        <v>21.15</v>
      </c>
      <c r="M31" s="28">
        <f t="shared" si="5"/>
        <v>174.78</v>
      </c>
      <c r="N31" s="28">
        <f t="shared" si="5"/>
        <v>174.78</v>
      </c>
      <c r="O31" s="28">
        <f t="shared" si="5"/>
        <v>0.1</v>
      </c>
      <c r="P31" s="28">
        <f t="shared" si="5"/>
        <v>0.09347826086956522</v>
      </c>
      <c r="Q31" s="28">
        <f t="shared" si="5"/>
        <v>0.29</v>
      </c>
      <c r="R31" s="28">
        <f t="shared" si="5"/>
        <v>0.2710869565217391</v>
      </c>
      <c r="S31" s="28">
        <f t="shared" si="5"/>
        <v>2.46</v>
      </c>
      <c r="T31" s="28">
        <f t="shared" si="5"/>
        <v>2.46</v>
      </c>
      <c r="U31" s="28" t="e">
        <f>SUM(#REF!)</f>
        <v>#REF!</v>
      </c>
      <c r="V31" s="28" t="e">
        <f>SUM(#REF!)</f>
        <v>#REF!</v>
      </c>
      <c r="W31" s="28" t="e">
        <f>SUM(#REF!)</f>
        <v>#REF!</v>
      </c>
      <c r="X31" s="90" t="e">
        <f>SUM(#REF!)</f>
        <v>#REF!</v>
      </c>
      <c r="Y31" s="91"/>
      <c r="Z31" s="80"/>
      <c r="AA31" s="80"/>
      <c r="AB31" s="80"/>
      <c r="AC31" s="80"/>
    </row>
    <row r="32" spans="1:32" ht="15" customHeight="1">
      <c r="A32" s="16"/>
      <c r="B32" s="95" t="s">
        <v>36</v>
      </c>
      <c r="C32" s="18"/>
      <c r="D32" s="18"/>
      <c r="E32" s="33"/>
      <c r="F32" s="19"/>
      <c r="G32" s="19"/>
      <c r="H32" s="20"/>
      <c r="I32" s="20"/>
      <c r="J32" s="20"/>
      <c r="K32" s="20"/>
      <c r="L32" s="20"/>
      <c r="M32" s="20"/>
      <c r="N32" s="20"/>
      <c r="O32" s="29"/>
      <c r="P32" s="29"/>
      <c r="Q32" s="29"/>
      <c r="R32" s="29"/>
      <c r="S32" s="29"/>
      <c r="T32" s="29"/>
      <c r="U32" s="29"/>
      <c r="V32" s="29"/>
      <c r="W32" s="29"/>
      <c r="X32" s="84"/>
      <c r="Y32" s="22"/>
      <c r="Z32" s="37"/>
      <c r="AA32" s="37"/>
      <c r="AB32" s="37"/>
      <c r="AC32" s="22"/>
      <c r="AD32" s="22"/>
      <c r="AE32" s="22"/>
      <c r="AF32" s="22"/>
    </row>
    <row r="33" spans="1:29" s="31" customFormat="1" ht="18.75" customHeight="1">
      <c r="A33" s="131" t="s">
        <v>134</v>
      </c>
      <c r="B33" s="59" t="s">
        <v>191</v>
      </c>
      <c r="C33" s="60" t="s">
        <v>29</v>
      </c>
      <c r="D33" s="60" t="s">
        <v>29</v>
      </c>
      <c r="E33" s="61">
        <v>12.01</v>
      </c>
      <c r="F33" s="61">
        <v>12.01</v>
      </c>
      <c r="G33" s="61">
        <v>15.77</v>
      </c>
      <c r="H33" s="62">
        <v>15.77</v>
      </c>
      <c r="I33" s="62">
        <v>2.76</v>
      </c>
      <c r="J33" s="62">
        <v>2.76</v>
      </c>
      <c r="K33" s="62">
        <v>7.3</v>
      </c>
      <c r="L33" s="62">
        <v>7.3</v>
      </c>
      <c r="M33" s="62">
        <v>117</v>
      </c>
      <c r="N33" s="62">
        <v>117</v>
      </c>
      <c r="O33" s="62">
        <v>0.09</v>
      </c>
      <c r="P33" s="62">
        <v>0.09</v>
      </c>
      <c r="Q33" s="62">
        <v>0.1</v>
      </c>
      <c r="R33" s="62">
        <v>0.1</v>
      </c>
      <c r="S33" s="62">
        <v>2.29</v>
      </c>
      <c r="T33" s="62">
        <v>2.29</v>
      </c>
      <c r="U33" s="62">
        <v>23.97</v>
      </c>
      <c r="V33" s="62">
        <v>23.97</v>
      </c>
      <c r="W33" s="62">
        <v>0.61</v>
      </c>
      <c r="X33" s="62">
        <v>0.61</v>
      </c>
      <c r="Y33" s="36"/>
      <c r="Z33" s="110"/>
      <c r="AA33" s="110"/>
      <c r="AB33" s="110"/>
      <c r="AC33" s="36"/>
    </row>
    <row r="34" spans="1:29" ht="15.75" customHeight="1">
      <c r="A34" s="129" t="s">
        <v>18</v>
      </c>
      <c r="B34" s="64" t="s">
        <v>143</v>
      </c>
      <c r="C34" s="60" t="s">
        <v>68</v>
      </c>
      <c r="D34" s="60" t="s">
        <v>97</v>
      </c>
      <c r="E34" s="61">
        <v>3.63</v>
      </c>
      <c r="F34" s="61">
        <v>2.79</v>
      </c>
      <c r="G34" s="61">
        <v>1.95</v>
      </c>
      <c r="H34" s="61">
        <f>G34*100/130</f>
        <v>1.5</v>
      </c>
      <c r="I34" s="61">
        <v>5.07</v>
      </c>
      <c r="J34" s="61">
        <f>I34*100/130</f>
        <v>3.9</v>
      </c>
      <c r="K34" s="61">
        <v>19.89</v>
      </c>
      <c r="L34" s="61">
        <f>K34*100/130</f>
        <v>15.3</v>
      </c>
      <c r="M34" s="61">
        <v>132.99</v>
      </c>
      <c r="N34" s="61">
        <f>M34*100/130</f>
        <v>102.3</v>
      </c>
      <c r="O34" s="61">
        <f>P34*1.3</f>
        <v>0.24700000000000003</v>
      </c>
      <c r="P34" s="62">
        <v>0.19</v>
      </c>
      <c r="Q34" s="61">
        <f>R34*1.3</f>
        <v>0.052000000000000005</v>
      </c>
      <c r="R34" s="62">
        <v>0.04</v>
      </c>
      <c r="S34" s="61">
        <f>T34*150/100</f>
        <v>0</v>
      </c>
      <c r="T34" s="62">
        <v>0</v>
      </c>
      <c r="U34" s="61">
        <f>V34*1.3</f>
        <v>31.628999999999998</v>
      </c>
      <c r="V34" s="62">
        <v>24.33</v>
      </c>
      <c r="W34" s="61">
        <f>X34*1.3</f>
        <v>1.222</v>
      </c>
      <c r="X34" s="62">
        <v>0.94</v>
      </c>
      <c r="Z34" s="37"/>
      <c r="AA34" s="37"/>
      <c r="AB34" s="37"/>
      <c r="AC34" s="22"/>
    </row>
    <row r="35" spans="1:31" ht="15" customHeight="1">
      <c r="A35" s="130" t="s">
        <v>105</v>
      </c>
      <c r="B35" s="23" t="s">
        <v>106</v>
      </c>
      <c r="C35" s="18" t="s">
        <v>21</v>
      </c>
      <c r="D35" s="18" t="s">
        <v>22</v>
      </c>
      <c r="E35" s="19">
        <v>0.55</v>
      </c>
      <c r="F35" s="19">
        <v>0.41</v>
      </c>
      <c r="G35" s="19">
        <v>0.18</v>
      </c>
      <c r="H35" s="20">
        <v>0.13</v>
      </c>
      <c r="I35" s="19">
        <f>J35*200/150</f>
        <v>0</v>
      </c>
      <c r="J35" s="20">
        <v>0</v>
      </c>
      <c r="K35" s="19">
        <v>4.78</v>
      </c>
      <c r="L35" s="20">
        <v>3.58</v>
      </c>
      <c r="M35" s="19">
        <v>19.9</v>
      </c>
      <c r="N35" s="20">
        <v>14.92</v>
      </c>
      <c r="O35" s="19">
        <f>P35*200/150</f>
        <v>0.013333333333333334</v>
      </c>
      <c r="P35" s="29">
        <v>0.01</v>
      </c>
      <c r="Q35" s="19">
        <f>R35*200/150</f>
        <v>0.013333333333333334</v>
      </c>
      <c r="R35" s="29">
        <v>0.01</v>
      </c>
      <c r="S35" s="19">
        <v>0.04</v>
      </c>
      <c r="T35" s="29">
        <v>0.03</v>
      </c>
      <c r="U35" s="19">
        <f>V35*200/150</f>
        <v>5.053333333333334</v>
      </c>
      <c r="V35" s="29">
        <v>3.79</v>
      </c>
      <c r="W35" s="19">
        <f>X35*200/150</f>
        <v>0.84</v>
      </c>
      <c r="X35" s="84">
        <v>0.63</v>
      </c>
      <c r="Y35" s="22"/>
      <c r="Z35" s="22"/>
      <c r="AA35" s="22"/>
      <c r="AB35" s="22"/>
      <c r="AC35" s="22"/>
      <c r="AD35" s="22"/>
      <c r="AE35" s="22"/>
    </row>
    <row r="36" spans="1:31" s="68" customFormat="1" ht="15" customHeight="1">
      <c r="A36" s="129"/>
      <c r="B36" s="59" t="s">
        <v>30</v>
      </c>
      <c r="C36" s="60" t="s">
        <v>31</v>
      </c>
      <c r="D36" s="60" t="s">
        <v>31</v>
      </c>
      <c r="E36" s="61">
        <v>1.11</v>
      </c>
      <c r="F36" s="61">
        <v>1.11</v>
      </c>
      <c r="G36" s="61">
        <v>1.6</v>
      </c>
      <c r="H36" s="61">
        <v>1.6</v>
      </c>
      <c r="I36" s="61">
        <v>0.4</v>
      </c>
      <c r="J36" s="61">
        <v>0.4</v>
      </c>
      <c r="K36" s="61">
        <v>10</v>
      </c>
      <c r="L36" s="61">
        <v>10</v>
      </c>
      <c r="M36" s="62">
        <v>54</v>
      </c>
      <c r="N36" s="62">
        <v>54</v>
      </c>
      <c r="O36" s="65">
        <v>0.04</v>
      </c>
      <c r="P36" s="66">
        <v>0.04</v>
      </c>
      <c r="Q36" s="65">
        <v>0.02</v>
      </c>
      <c r="R36" s="66">
        <v>0.02</v>
      </c>
      <c r="S36" s="65">
        <v>0</v>
      </c>
      <c r="T36" s="66">
        <v>0</v>
      </c>
      <c r="U36" s="65">
        <v>7.4</v>
      </c>
      <c r="V36" s="66">
        <v>7.4</v>
      </c>
      <c r="W36" s="65">
        <v>0.56</v>
      </c>
      <c r="X36" s="66">
        <v>0.56</v>
      </c>
      <c r="Y36" s="67"/>
      <c r="Z36" s="67"/>
      <c r="AA36" s="67"/>
      <c r="AB36" s="67"/>
      <c r="AC36" s="67"/>
      <c r="AD36" s="67"/>
      <c r="AE36" s="67"/>
    </row>
    <row r="37" spans="1:32" ht="15" customHeight="1">
      <c r="A37" s="16"/>
      <c r="B37" s="17" t="s">
        <v>23</v>
      </c>
      <c r="C37" s="18"/>
      <c r="D37" s="18"/>
      <c r="E37" s="28">
        <f>SUM(E33:E36)</f>
        <v>17.3</v>
      </c>
      <c r="F37" s="28">
        <f>SUM(F33:F36)</f>
        <v>16.32</v>
      </c>
      <c r="G37" s="28">
        <f aca="true" t="shared" si="6" ref="G37:T37">SUM(G33:G36)</f>
        <v>19.5</v>
      </c>
      <c r="H37" s="28">
        <f t="shared" si="6"/>
        <v>19</v>
      </c>
      <c r="I37" s="28">
        <f t="shared" si="6"/>
        <v>8.23</v>
      </c>
      <c r="J37" s="28">
        <f t="shared" si="6"/>
        <v>7.0600000000000005</v>
      </c>
      <c r="K37" s="28">
        <f t="shared" si="6"/>
        <v>41.97</v>
      </c>
      <c r="L37" s="28">
        <f t="shared" si="6"/>
        <v>36.18</v>
      </c>
      <c r="M37" s="28">
        <f t="shared" si="6"/>
        <v>323.89</v>
      </c>
      <c r="N37" s="28">
        <f t="shared" si="6"/>
        <v>288.22</v>
      </c>
      <c r="O37" s="28">
        <f t="shared" si="6"/>
        <v>0.3903333333333333</v>
      </c>
      <c r="P37" s="28">
        <f t="shared" si="6"/>
        <v>0.33</v>
      </c>
      <c r="Q37" s="28">
        <f t="shared" si="6"/>
        <v>0.18533333333333335</v>
      </c>
      <c r="R37" s="28">
        <f t="shared" si="6"/>
        <v>0.17</v>
      </c>
      <c r="S37" s="28">
        <f t="shared" si="6"/>
        <v>2.33</v>
      </c>
      <c r="T37" s="28">
        <f t="shared" si="6"/>
        <v>2.32</v>
      </c>
      <c r="U37" s="28">
        <f aca="true" t="shared" si="7" ref="U37:AB37">SUM(U33:U36)</f>
        <v>68.05233333333334</v>
      </c>
      <c r="V37" s="28">
        <f t="shared" si="7"/>
        <v>59.489999999999995</v>
      </c>
      <c r="W37" s="28">
        <f t="shared" si="7"/>
        <v>3.2319999999999998</v>
      </c>
      <c r="X37" s="28">
        <f t="shared" si="7"/>
        <v>2.7399999999999998</v>
      </c>
      <c r="Y37" s="28">
        <f t="shared" si="7"/>
        <v>0</v>
      </c>
      <c r="Z37" s="28">
        <f t="shared" si="7"/>
        <v>0</v>
      </c>
      <c r="AA37" s="28">
        <f t="shared" si="7"/>
        <v>0</v>
      </c>
      <c r="AB37" s="28">
        <f t="shared" si="7"/>
        <v>0</v>
      </c>
      <c r="AC37" s="80"/>
      <c r="AD37" s="22"/>
      <c r="AE37" s="22"/>
      <c r="AF37" s="22"/>
    </row>
    <row r="38" spans="1:32" ht="15" customHeight="1">
      <c r="A38" s="16"/>
      <c r="B38" s="17" t="s">
        <v>37</v>
      </c>
      <c r="C38" s="18"/>
      <c r="D38" s="18"/>
      <c r="E38" s="28">
        <f>E37+E31+E28+E20+E17</f>
        <v>92.75</v>
      </c>
      <c r="F38" s="28">
        <f>F37+F31+F28+F20+F17</f>
        <v>81.61</v>
      </c>
      <c r="G38" s="28">
        <f aca="true" t="shared" si="8" ref="G38:T38">G37+G31+G28+G20+G17</f>
        <v>57.13</v>
      </c>
      <c r="H38" s="28">
        <f t="shared" si="8"/>
        <v>51.86000000000001</v>
      </c>
      <c r="I38" s="28">
        <f t="shared" si="8"/>
        <v>62.33</v>
      </c>
      <c r="J38" s="28">
        <f t="shared" si="8"/>
        <v>52.796</v>
      </c>
      <c r="K38" s="28">
        <f t="shared" si="8"/>
        <v>272.09000000000003</v>
      </c>
      <c r="L38" s="28">
        <f t="shared" si="8"/>
        <v>223.4</v>
      </c>
      <c r="M38" s="28">
        <f t="shared" si="8"/>
        <v>1886.75</v>
      </c>
      <c r="N38" s="28">
        <f t="shared" si="8"/>
        <v>1541.08</v>
      </c>
      <c r="O38" s="28">
        <f t="shared" si="8"/>
        <v>1.1903333333333332</v>
      </c>
      <c r="P38" s="28">
        <f t="shared" si="8"/>
        <v>0.9718115942028985</v>
      </c>
      <c r="Q38" s="28">
        <f t="shared" si="8"/>
        <v>0.9693333333333334</v>
      </c>
      <c r="R38" s="28">
        <f t="shared" si="8"/>
        <v>0.8635869565217391</v>
      </c>
      <c r="S38" s="28">
        <f t="shared" si="8"/>
        <v>33.26</v>
      </c>
      <c r="T38" s="28">
        <f t="shared" si="8"/>
        <v>27.3915</v>
      </c>
      <c r="U38" s="28" t="e">
        <f>U37+U31+U28+U20+U17</f>
        <v>#REF!</v>
      </c>
      <c r="V38" s="28" t="e">
        <f>V37+V31+V28+V20+V17</f>
        <v>#REF!</v>
      </c>
      <c r="W38" s="28" t="e">
        <f>W37+W31+W28+W20+W17</f>
        <v>#REF!</v>
      </c>
      <c r="X38" s="83" t="e">
        <f>X37+X31+X28+X20+X17</f>
        <v>#REF!</v>
      </c>
      <c r="Y38" s="80"/>
      <c r="Z38" s="80"/>
      <c r="AA38" s="80"/>
      <c r="AB38" s="80"/>
      <c r="AC38" s="80"/>
      <c r="AD38" s="22"/>
      <c r="AE38" s="22"/>
      <c r="AF38" s="22"/>
    </row>
    <row r="39" spans="1:32" ht="15" customHeight="1">
      <c r="A39" s="16"/>
      <c r="B39" s="17"/>
      <c r="C39" s="18"/>
      <c r="D39" s="1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83"/>
      <c r="Y39" s="80"/>
      <c r="Z39" s="80"/>
      <c r="AA39" s="80"/>
      <c r="AB39" s="80"/>
      <c r="AC39" s="80"/>
      <c r="AD39" s="22"/>
      <c r="AE39" s="22"/>
      <c r="AF39" s="22"/>
    </row>
    <row r="40" spans="1:32" ht="15" customHeight="1">
      <c r="A40" s="16"/>
      <c r="B40" s="93" t="s">
        <v>196</v>
      </c>
      <c r="C40" s="18"/>
      <c r="D40" s="18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9"/>
      <c r="P40" s="29"/>
      <c r="Q40" s="29"/>
      <c r="R40" s="29"/>
      <c r="S40" s="29"/>
      <c r="T40" s="29"/>
      <c r="U40" s="29"/>
      <c r="V40" s="29"/>
      <c r="W40" s="29"/>
      <c r="X40" s="84"/>
      <c r="Y40" s="22"/>
      <c r="Z40" s="37"/>
      <c r="AA40" s="37"/>
      <c r="AB40" s="37"/>
      <c r="AC40" s="22"/>
      <c r="AD40" s="22"/>
      <c r="AE40" s="22"/>
      <c r="AF40" s="22"/>
    </row>
    <row r="41" spans="1:32" ht="15" customHeight="1">
      <c r="A41" s="16"/>
      <c r="B41" s="95" t="s">
        <v>17</v>
      </c>
      <c r="C41" s="18"/>
      <c r="D41" s="18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9"/>
      <c r="P41" s="29"/>
      <c r="Q41" s="29"/>
      <c r="R41" s="29"/>
      <c r="S41" s="29"/>
      <c r="T41" s="29"/>
      <c r="U41" s="29"/>
      <c r="V41" s="29"/>
      <c r="W41" s="29"/>
      <c r="X41" s="84"/>
      <c r="Y41" s="22"/>
      <c r="Z41" s="37"/>
      <c r="AA41" s="37"/>
      <c r="AB41" s="37"/>
      <c r="AC41" s="22"/>
      <c r="AD41" s="22"/>
      <c r="AE41" s="22"/>
      <c r="AF41" s="22"/>
    </row>
    <row r="42" spans="1:30" s="31" customFormat="1" ht="15" customHeight="1">
      <c r="A42" s="129" t="s">
        <v>38</v>
      </c>
      <c r="B42" s="59" t="s">
        <v>39</v>
      </c>
      <c r="C42" s="60" t="s">
        <v>101</v>
      </c>
      <c r="D42" s="60" t="s">
        <v>101</v>
      </c>
      <c r="E42" s="61">
        <v>4.03</v>
      </c>
      <c r="F42" s="61">
        <v>4.03</v>
      </c>
      <c r="G42" s="61">
        <v>1.63</v>
      </c>
      <c r="H42" s="62">
        <v>1.63</v>
      </c>
      <c r="I42" s="62">
        <v>4.7</v>
      </c>
      <c r="J42" s="62">
        <v>4.7</v>
      </c>
      <c r="K42" s="62">
        <v>10.4</v>
      </c>
      <c r="L42" s="62">
        <v>10.4</v>
      </c>
      <c r="M42" s="62">
        <v>90.42</v>
      </c>
      <c r="N42" s="62">
        <v>90.42</v>
      </c>
      <c r="O42" s="63">
        <v>0.08</v>
      </c>
      <c r="P42" s="69">
        <v>0.05</v>
      </c>
      <c r="Q42" s="63">
        <v>0.04</v>
      </c>
      <c r="R42" s="69">
        <v>0.02</v>
      </c>
      <c r="S42" s="63">
        <v>0</v>
      </c>
      <c r="T42" s="62">
        <f>S42*25/45</f>
        <v>0</v>
      </c>
      <c r="U42" s="65">
        <v>13.6</v>
      </c>
      <c r="V42" s="66">
        <v>8.6</v>
      </c>
      <c r="W42" s="65">
        <v>0.81</v>
      </c>
      <c r="X42" s="66">
        <v>0.49</v>
      </c>
      <c r="Y42" s="30"/>
      <c r="Z42" s="30"/>
      <c r="AA42" s="30"/>
      <c r="AB42" s="30"/>
      <c r="AC42" s="30"/>
      <c r="AD42" s="30"/>
    </row>
    <row r="43" spans="1:31" ht="15" customHeight="1">
      <c r="A43" s="130" t="s">
        <v>71</v>
      </c>
      <c r="B43" s="17" t="s">
        <v>72</v>
      </c>
      <c r="C43" s="18" t="s">
        <v>73</v>
      </c>
      <c r="D43" s="18" t="s">
        <v>73</v>
      </c>
      <c r="E43" s="19">
        <v>4.17</v>
      </c>
      <c r="F43" s="19">
        <v>4.17</v>
      </c>
      <c r="G43" s="19">
        <v>5.1</v>
      </c>
      <c r="H43" s="19">
        <v>5.1</v>
      </c>
      <c r="I43" s="20">
        <v>4.6</v>
      </c>
      <c r="J43" s="20">
        <v>4.6</v>
      </c>
      <c r="K43" s="20">
        <v>0.3</v>
      </c>
      <c r="L43" s="20">
        <v>0.3</v>
      </c>
      <c r="M43" s="20">
        <v>63</v>
      </c>
      <c r="N43" s="20">
        <v>63</v>
      </c>
      <c r="O43" s="27">
        <v>0.03</v>
      </c>
      <c r="P43" s="27">
        <v>0.03</v>
      </c>
      <c r="Q43" s="27">
        <v>0.18</v>
      </c>
      <c r="R43" s="27">
        <v>0.18</v>
      </c>
      <c r="S43" s="27">
        <v>0</v>
      </c>
      <c r="T43" s="27">
        <v>0</v>
      </c>
      <c r="U43" s="27">
        <v>22</v>
      </c>
      <c r="V43" s="27">
        <v>22</v>
      </c>
      <c r="W43" s="27">
        <v>1.08</v>
      </c>
      <c r="X43" s="85">
        <v>1.08</v>
      </c>
      <c r="Y43" s="22"/>
      <c r="Z43" s="22"/>
      <c r="AA43" s="22"/>
      <c r="AB43" s="22"/>
      <c r="AC43" s="22"/>
      <c r="AD43" s="22"/>
      <c r="AE43" s="22"/>
    </row>
    <row r="44" spans="1:33" ht="13.5" customHeight="1">
      <c r="A44" s="129" t="s">
        <v>113</v>
      </c>
      <c r="B44" s="59" t="s">
        <v>140</v>
      </c>
      <c r="C44" s="60" t="s">
        <v>21</v>
      </c>
      <c r="D44" s="60" t="s">
        <v>22</v>
      </c>
      <c r="E44" s="19">
        <v>6.97</v>
      </c>
      <c r="F44" s="19">
        <v>5.23</v>
      </c>
      <c r="G44" s="61">
        <v>5.76</v>
      </c>
      <c r="H44" s="61">
        <v>4.32</v>
      </c>
      <c r="I44" s="61">
        <v>6.64</v>
      </c>
      <c r="J44" s="61">
        <v>4.98</v>
      </c>
      <c r="K44" s="61">
        <v>19.28</v>
      </c>
      <c r="L44" s="61">
        <f>K44*150/200</f>
        <v>14.46</v>
      </c>
      <c r="M44" s="61">
        <v>160</v>
      </c>
      <c r="N44" s="61">
        <v>120</v>
      </c>
      <c r="O44" s="62">
        <v>0.09</v>
      </c>
      <c r="P44" s="61">
        <f>O44*150/200</f>
        <v>0.0675</v>
      </c>
      <c r="Q44" s="62">
        <v>0.14</v>
      </c>
      <c r="R44" s="61">
        <f>Q44*150/200</f>
        <v>0.10500000000000002</v>
      </c>
      <c r="S44" s="62">
        <v>0.9</v>
      </c>
      <c r="T44" s="61">
        <v>0.67</v>
      </c>
      <c r="U44" s="62">
        <v>129.32</v>
      </c>
      <c r="V44" s="61">
        <f>U44*150/200</f>
        <v>96.99</v>
      </c>
      <c r="W44" s="62">
        <v>0.42</v>
      </c>
      <c r="X44" s="141">
        <f>W44*150/200</f>
        <v>0.315</v>
      </c>
      <c r="Y44" s="88"/>
      <c r="Z44" s="22"/>
      <c r="AA44" s="22"/>
      <c r="AB44" s="22"/>
      <c r="AC44" s="22"/>
      <c r="AD44" s="22"/>
      <c r="AE44" s="22"/>
      <c r="AF44" s="22"/>
      <c r="AG44" s="22"/>
    </row>
    <row r="45" spans="1:31" ht="15.75" customHeight="1">
      <c r="A45" s="129" t="s">
        <v>50</v>
      </c>
      <c r="B45" s="59" t="s">
        <v>40</v>
      </c>
      <c r="C45" s="60" t="s">
        <v>26</v>
      </c>
      <c r="D45" s="60" t="s">
        <v>22</v>
      </c>
      <c r="E45" s="61">
        <v>6.01</v>
      </c>
      <c r="F45" s="61">
        <v>4.84</v>
      </c>
      <c r="G45" s="61">
        <v>2.85</v>
      </c>
      <c r="H45" s="62">
        <v>2.34</v>
      </c>
      <c r="I45" s="61">
        <v>2.41</v>
      </c>
      <c r="J45" s="62">
        <v>2</v>
      </c>
      <c r="K45" s="61">
        <v>14.36</v>
      </c>
      <c r="L45" s="62">
        <v>10.63</v>
      </c>
      <c r="M45" s="61">
        <v>91</v>
      </c>
      <c r="N45" s="62">
        <v>70</v>
      </c>
      <c r="O45" s="61">
        <f>P45*180/150</f>
        <v>0.012</v>
      </c>
      <c r="P45" s="69">
        <v>0.01</v>
      </c>
      <c r="Q45" s="61">
        <f>R45*180/150</f>
        <v>0.084</v>
      </c>
      <c r="R45" s="69">
        <v>0.07</v>
      </c>
      <c r="S45" s="61">
        <v>1.17</v>
      </c>
      <c r="T45" s="62">
        <f>S45*150/180</f>
        <v>0.975</v>
      </c>
      <c r="U45" s="61">
        <f>V45*180/150</f>
        <v>57.516</v>
      </c>
      <c r="V45" s="69">
        <v>47.93</v>
      </c>
      <c r="W45" s="61">
        <f>X45*180/150</f>
        <v>0.264</v>
      </c>
      <c r="X45" s="69">
        <v>0.22</v>
      </c>
      <c r="Y45" s="22"/>
      <c r="Z45" s="22"/>
      <c r="AA45" s="22"/>
      <c r="AB45" s="22"/>
      <c r="AC45" s="22"/>
      <c r="AD45" s="22"/>
      <c r="AE45" s="22"/>
    </row>
    <row r="46" spans="1:32" ht="15" customHeight="1">
      <c r="A46" s="16"/>
      <c r="B46" s="17" t="s">
        <v>23</v>
      </c>
      <c r="C46" s="18"/>
      <c r="D46" s="18"/>
      <c r="E46" s="28">
        <f>SUM(E42:E45)</f>
        <v>21.18</v>
      </c>
      <c r="F46" s="28">
        <f>SUM(F42:F45)</f>
        <v>18.27</v>
      </c>
      <c r="G46" s="28">
        <f aca="true" t="shared" si="9" ref="G46:T46">SUM(G42:G45)</f>
        <v>15.339999999999998</v>
      </c>
      <c r="H46" s="28">
        <f t="shared" si="9"/>
        <v>13.39</v>
      </c>
      <c r="I46" s="28">
        <f t="shared" si="9"/>
        <v>18.35</v>
      </c>
      <c r="J46" s="28">
        <f t="shared" si="9"/>
        <v>16.28</v>
      </c>
      <c r="K46" s="28">
        <f t="shared" si="9"/>
        <v>44.34</v>
      </c>
      <c r="L46" s="28">
        <f t="shared" si="9"/>
        <v>35.790000000000006</v>
      </c>
      <c r="M46" s="28">
        <f t="shared" si="9"/>
        <v>404.42</v>
      </c>
      <c r="N46" s="28">
        <f t="shared" si="9"/>
        <v>343.42</v>
      </c>
      <c r="O46" s="28">
        <f t="shared" si="9"/>
        <v>0.21200000000000002</v>
      </c>
      <c r="P46" s="28">
        <f t="shared" si="9"/>
        <v>0.15750000000000003</v>
      </c>
      <c r="Q46" s="28">
        <f t="shared" si="9"/>
        <v>0.444</v>
      </c>
      <c r="R46" s="28">
        <f t="shared" si="9"/>
        <v>0.375</v>
      </c>
      <c r="S46" s="28">
        <f t="shared" si="9"/>
        <v>2.07</v>
      </c>
      <c r="T46" s="28">
        <f t="shared" si="9"/>
        <v>1.645</v>
      </c>
      <c r="U46" s="28">
        <f aca="true" t="shared" si="10" ref="U46:AB46">SUM(U42:U45)</f>
        <v>222.43599999999998</v>
      </c>
      <c r="V46" s="28">
        <f t="shared" si="10"/>
        <v>175.52</v>
      </c>
      <c r="W46" s="28">
        <f t="shared" si="10"/>
        <v>2.574</v>
      </c>
      <c r="X46" s="28">
        <f t="shared" si="10"/>
        <v>2.105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0</v>
      </c>
      <c r="AC46" s="80"/>
      <c r="AD46" s="22"/>
      <c r="AE46" s="22"/>
      <c r="AF46" s="22"/>
    </row>
    <row r="47" spans="1:32" ht="15" customHeight="1">
      <c r="A47" s="16"/>
      <c r="B47" s="95" t="s">
        <v>41</v>
      </c>
      <c r="C47" s="18"/>
      <c r="D47" s="18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9"/>
      <c r="P47" s="29"/>
      <c r="Q47" s="29"/>
      <c r="R47" s="29"/>
      <c r="S47" s="29"/>
      <c r="T47" s="29"/>
      <c r="U47" s="29"/>
      <c r="V47" s="29"/>
      <c r="W47" s="29"/>
      <c r="X47" s="84"/>
      <c r="Y47" s="22"/>
      <c r="Z47" s="37"/>
      <c r="AA47" s="37"/>
      <c r="AB47" s="37"/>
      <c r="AC47" s="22"/>
      <c r="AD47" s="22"/>
      <c r="AE47" s="22"/>
      <c r="AF47" s="22"/>
    </row>
    <row r="48" spans="1:31" s="32" customFormat="1" ht="15" customHeight="1">
      <c r="A48" s="130" t="s">
        <v>25</v>
      </c>
      <c r="B48" s="17" t="s">
        <v>70</v>
      </c>
      <c r="C48" s="18" t="s">
        <v>139</v>
      </c>
      <c r="D48" s="18" t="s">
        <v>139</v>
      </c>
      <c r="E48" s="19">
        <v>4.8</v>
      </c>
      <c r="F48" s="19">
        <v>4.8</v>
      </c>
      <c r="G48" s="25">
        <v>0</v>
      </c>
      <c r="H48" s="26">
        <v>0</v>
      </c>
      <c r="I48" s="25">
        <f>J48*180/150</f>
        <v>0</v>
      </c>
      <c r="J48" s="26">
        <v>0</v>
      </c>
      <c r="K48" s="25">
        <v>10.2</v>
      </c>
      <c r="L48" s="26">
        <v>10.2</v>
      </c>
      <c r="M48" s="25">
        <v>40.8</v>
      </c>
      <c r="N48" s="26">
        <v>40.8</v>
      </c>
      <c r="O48" s="25">
        <f>P48*180/150</f>
        <v>0</v>
      </c>
      <c r="P48" s="26">
        <v>0</v>
      </c>
      <c r="Q48" s="25">
        <f>R48*180/150</f>
        <v>0.024</v>
      </c>
      <c r="R48" s="26">
        <v>0.02</v>
      </c>
      <c r="S48" s="25">
        <v>3.4</v>
      </c>
      <c r="T48" s="26">
        <v>3.4</v>
      </c>
      <c r="U48" s="25">
        <f>V48*180/150</f>
        <v>9.996</v>
      </c>
      <c r="V48" s="26">
        <v>8.33</v>
      </c>
      <c r="W48" s="25">
        <f>X48*180/150</f>
        <v>0.252</v>
      </c>
      <c r="X48" s="86">
        <v>0.21</v>
      </c>
      <c r="Y48" s="37"/>
      <c r="Z48" s="37"/>
      <c r="AA48" s="37"/>
      <c r="AB48" s="37"/>
      <c r="AC48" s="37"/>
      <c r="AD48" s="37"/>
      <c r="AE48" s="37"/>
    </row>
    <row r="49" spans="1:32" ht="15" customHeight="1">
      <c r="A49" s="16"/>
      <c r="B49" s="17" t="s">
        <v>23</v>
      </c>
      <c r="C49" s="18"/>
      <c r="D49" s="18"/>
      <c r="E49" s="28">
        <f>SUM(E48)</f>
        <v>4.8</v>
      </c>
      <c r="F49" s="28">
        <f>SUM(F48)</f>
        <v>4.8</v>
      </c>
      <c r="G49" s="28">
        <f aca="true" t="shared" si="11" ref="G49:T49">SUM(G48)</f>
        <v>0</v>
      </c>
      <c r="H49" s="28">
        <f t="shared" si="11"/>
        <v>0</v>
      </c>
      <c r="I49" s="28">
        <f t="shared" si="11"/>
        <v>0</v>
      </c>
      <c r="J49" s="28">
        <f t="shared" si="11"/>
        <v>0</v>
      </c>
      <c r="K49" s="28">
        <f t="shared" si="11"/>
        <v>10.2</v>
      </c>
      <c r="L49" s="28">
        <f t="shared" si="11"/>
        <v>10.2</v>
      </c>
      <c r="M49" s="28">
        <f t="shared" si="11"/>
        <v>40.8</v>
      </c>
      <c r="N49" s="28">
        <f t="shared" si="11"/>
        <v>40.8</v>
      </c>
      <c r="O49" s="28">
        <f t="shared" si="11"/>
        <v>0</v>
      </c>
      <c r="P49" s="28">
        <f t="shared" si="11"/>
        <v>0</v>
      </c>
      <c r="Q49" s="28">
        <f t="shared" si="11"/>
        <v>0.024</v>
      </c>
      <c r="R49" s="28">
        <f t="shared" si="11"/>
        <v>0.02</v>
      </c>
      <c r="S49" s="28">
        <f t="shared" si="11"/>
        <v>3.4</v>
      </c>
      <c r="T49" s="28">
        <f t="shared" si="11"/>
        <v>3.4</v>
      </c>
      <c r="U49" s="28">
        <f aca="true" t="shared" si="12" ref="U49:AB49">SUM(U48)</f>
        <v>9.996</v>
      </c>
      <c r="V49" s="28">
        <f t="shared" si="12"/>
        <v>8.33</v>
      </c>
      <c r="W49" s="28">
        <f t="shared" si="12"/>
        <v>0.252</v>
      </c>
      <c r="X49" s="28">
        <f t="shared" si="12"/>
        <v>0.21</v>
      </c>
      <c r="Y49" s="28">
        <f t="shared" si="12"/>
        <v>0</v>
      </c>
      <c r="Z49" s="28">
        <f t="shared" si="12"/>
        <v>0</v>
      </c>
      <c r="AA49" s="28">
        <f t="shared" si="12"/>
        <v>0</v>
      </c>
      <c r="AB49" s="28">
        <f t="shared" si="12"/>
        <v>0</v>
      </c>
      <c r="AC49" s="80"/>
      <c r="AD49" s="22"/>
      <c r="AE49" s="22"/>
      <c r="AF49" s="22"/>
    </row>
    <row r="50" spans="1:32" ht="15" customHeight="1">
      <c r="A50" s="16"/>
      <c r="B50" s="95" t="s">
        <v>27</v>
      </c>
      <c r="C50" s="18"/>
      <c r="D50" s="18"/>
      <c r="E50" s="19"/>
      <c r="F50" s="19"/>
      <c r="G50" s="19"/>
      <c r="H50" s="20"/>
      <c r="I50" s="20"/>
      <c r="J50" s="20"/>
      <c r="K50" s="20"/>
      <c r="L50" s="20"/>
      <c r="M50" s="20"/>
      <c r="N50" s="20"/>
      <c r="O50" s="29"/>
      <c r="P50" s="29"/>
      <c r="Q50" s="29"/>
      <c r="R50" s="29"/>
      <c r="S50" s="29"/>
      <c r="T50" s="29"/>
      <c r="U50" s="29"/>
      <c r="V50" s="29"/>
      <c r="W50" s="29"/>
      <c r="X50" s="84"/>
      <c r="Y50" s="22"/>
      <c r="Z50" s="37"/>
      <c r="AA50" s="37"/>
      <c r="AB50" s="37"/>
      <c r="AC50" s="22"/>
      <c r="AD50" s="22"/>
      <c r="AE50" s="22"/>
      <c r="AF50" s="22"/>
    </row>
    <row r="51" spans="1:24" ht="24.75" customHeight="1">
      <c r="A51" s="147" t="s">
        <v>173</v>
      </c>
      <c r="B51" s="59" t="s">
        <v>174</v>
      </c>
      <c r="C51" s="60" t="s">
        <v>161</v>
      </c>
      <c r="D51" s="60" t="s">
        <v>161</v>
      </c>
      <c r="E51" s="61">
        <v>2.3</v>
      </c>
      <c r="F51" s="61">
        <v>2.3</v>
      </c>
      <c r="G51" s="61">
        <v>0.7</v>
      </c>
      <c r="H51" s="62">
        <v>0.7</v>
      </c>
      <c r="I51" s="61">
        <v>2.54</v>
      </c>
      <c r="J51" s="62">
        <v>2.54</v>
      </c>
      <c r="K51" s="61">
        <v>4.32</v>
      </c>
      <c r="L51" s="62">
        <v>4.32</v>
      </c>
      <c r="M51" s="61">
        <v>42.94</v>
      </c>
      <c r="N51" s="62">
        <v>42.94</v>
      </c>
      <c r="O51" s="61">
        <v>0.01</v>
      </c>
      <c r="P51" s="62">
        <v>0</v>
      </c>
      <c r="Q51" s="61">
        <v>0.02</v>
      </c>
      <c r="R51" s="62">
        <v>0</v>
      </c>
      <c r="S51" s="61">
        <v>17.47</v>
      </c>
      <c r="T51" s="62">
        <v>17.47</v>
      </c>
      <c r="U51" s="124">
        <v>20.69</v>
      </c>
      <c r="V51" s="125">
        <v>0</v>
      </c>
      <c r="W51" s="124">
        <v>0.78</v>
      </c>
      <c r="X51" s="125">
        <v>0</v>
      </c>
    </row>
    <row r="52" spans="1:31" ht="20.25" customHeight="1">
      <c r="A52" s="139" t="s">
        <v>178</v>
      </c>
      <c r="B52" s="23" t="s">
        <v>179</v>
      </c>
      <c r="C52" s="18" t="s">
        <v>152</v>
      </c>
      <c r="D52" s="18" t="s">
        <v>153</v>
      </c>
      <c r="E52" s="19">
        <v>6.61</v>
      </c>
      <c r="F52" s="19">
        <v>5.19</v>
      </c>
      <c r="G52" s="25">
        <v>1.9</v>
      </c>
      <c r="H52" s="25">
        <v>1.46</v>
      </c>
      <c r="I52" s="25">
        <v>4.27</v>
      </c>
      <c r="J52" s="25">
        <v>3.39</v>
      </c>
      <c r="K52" s="25">
        <v>10.08</v>
      </c>
      <c r="L52" s="25">
        <v>7.6</v>
      </c>
      <c r="M52" s="25">
        <v>86.35</v>
      </c>
      <c r="N52" s="25">
        <v>66.75</v>
      </c>
      <c r="O52" s="25">
        <v>0.05</v>
      </c>
      <c r="P52" s="25">
        <f>O52*185/235</f>
        <v>0.039361702127659576</v>
      </c>
      <c r="Q52" s="25">
        <v>0.04</v>
      </c>
      <c r="R52" s="25">
        <f>Q52*185/235</f>
        <v>0.03148936170212766</v>
      </c>
      <c r="S52" s="25">
        <v>14.15</v>
      </c>
      <c r="T52" s="25">
        <v>10.15</v>
      </c>
      <c r="U52" s="25">
        <v>32.5</v>
      </c>
      <c r="V52" s="25">
        <f>U52*185/235</f>
        <v>25.585106382978722</v>
      </c>
      <c r="W52" s="25">
        <v>1.59</v>
      </c>
      <c r="X52" s="116">
        <f>W52*185/235</f>
        <v>1.2517021276595746</v>
      </c>
      <c r="Y52" s="88"/>
      <c r="Z52" s="37"/>
      <c r="AA52" s="37"/>
      <c r="AB52" s="37"/>
      <c r="AC52" s="22"/>
      <c r="AD52" s="22"/>
      <c r="AE52" s="22"/>
    </row>
    <row r="53" spans="1:31" s="36" customFormat="1" ht="24" customHeight="1">
      <c r="A53" s="130" t="s">
        <v>94</v>
      </c>
      <c r="B53" s="23" t="s">
        <v>95</v>
      </c>
      <c r="C53" s="18" t="s">
        <v>28</v>
      </c>
      <c r="D53" s="18" t="s">
        <v>28</v>
      </c>
      <c r="E53" s="19">
        <v>15.84</v>
      </c>
      <c r="F53" s="19">
        <v>15.84</v>
      </c>
      <c r="G53" s="19">
        <v>6.6</v>
      </c>
      <c r="H53" s="19">
        <v>6.6</v>
      </c>
      <c r="I53" s="19">
        <v>9</v>
      </c>
      <c r="J53" s="20">
        <v>9</v>
      </c>
      <c r="K53" s="20">
        <v>1.8</v>
      </c>
      <c r="L53" s="20">
        <v>1.8</v>
      </c>
      <c r="M53" s="20">
        <v>115</v>
      </c>
      <c r="N53" s="20">
        <v>115</v>
      </c>
      <c r="O53" s="29">
        <v>0.05</v>
      </c>
      <c r="P53" s="29">
        <v>0.05</v>
      </c>
      <c r="Q53" s="137">
        <v>0.08</v>
      </c>
      <c r="R53" s="137">
        <v>0.08</v>
      </c>
      <c r="S53" s="137">
        <v>0.35</v>
      </c>
      <c r="T53" s="137">
        <v>0.35</v>
      </c>
      <c r="U53" s="137">
        <v>77.36</v>
      </c>
      <c r="V53" s="137">
        <v>77.36</v>
      </c>
      <c r="W53" s="137">
        <v>1.17</v>
      </c>
      <c r="X53" s="138">
        <v>1.17</v>
      </c>
      <c r="Y53" s="112"/>
      <c r="Z53" s="110"/>
      <c r="AA53" s="110"/>
      <c r="AB53" s="110"/>
      <c r="AC53" s="110"/>
      <c r="AD53" s="110"/>
      <c r="AE53" s="110"/>
    </row>
    <row r="54" spans="1:31" ht="15" customHeight="1">
      <c r="A54" s="130" t="s">
        <v>48</v>
      </c>
      <c r="B54" s="23" t="s">
        <v>49</v>
      </c>
      <c r="C54" s="18" t="s">
        <v>68</v>
      </c>
      <c r="D54" s="18" t="s">
        <v>97</v>
      </c>
      <c r="E54" s="40">
        <v>3.35</v>
      </c>
      <c r="F54" s="40">
        <v>2.58</v>
      </c>
      <c r="G54" s="20">
        <v>4.78</v>
      </c>
      <c r="H54" s="20">
        <v>3.82</v>
      </c>
      <c r="I54" s="20">
        <v>4.72</v>
      </c>
      <c r="J54" s="20">
        <v>3.39</v>
      </c>
      <c r="K54" s="20">
        <v>25.99</v>
      </c>
      <c r="L54" s="20">
        <v>20.79</v>
      </c>
      <c r="M54" s="20">
        <v>165.56</v>
      </c>
      <c r="N54" s="20">
        <v>129</v>
      </c>
      <c r="O54" s="25">
        <v>0.09</v>
      </c>
      <c r="P54" s="20">
        <f>O54/1.5</f>
        <v>0.06</v>
      </c>
      <c r="Q54" s="25">
        <v>0.06</v>
      </c>
      <c r="R54" s="20">
        <f>Q54/1.5</f>
        <v>0.04</v>
      </c>
      <c r="S54" s="25">
        <v>0</v>
      </c>
      <c r="T54" s="20">
        <f>S54/1.5</f>
        <v>0</v>
      </c>
      <c r="U54" s="25">
        <v>12.89</v>
      </c>
      <c r="V54" s="20">
        <f>U54/1.5</f>
        <v>8.593333333333334</v>
      </c>
      <c r="W54" s="25">
        <v>0.78</v>
      </c>
      <c r="X54" s="82">
        <f>W54/1.5</f>
        <v>0.52</v>
      </c>
      <c r="Y54" s="22"/>
      <c r="Z54" s="22"/>
      <c r="AA54" s="22"/>
      <c r="AB54" s="22"/>
      <c r="AC54" s="22"/>
      <c r="AD54" s="22"/>
      <c r="AE54" s="22"/>
    </row>
    <row r="55" spans="1:31" ht="21.75" customHeight="1">
      <c r="A55" s="129" t="s">
        <v>125</v>
      </c>
      <c r="B55" s="59" t="s">
        <v>135</v>
      </c>
      <c r="C55" s="60" t="s">
        <v>21</v>
      </c>
      <c r="D55" s="60" t="s">
        <v>22</v>
      </c>
      <c r="E55" s="61">
        <v>3.24</v>
      </c>
      <c r="F55" s="61">
        <v>2.43</v>
      </c>
      <c r="G55" s="63">
        <v>1.2</v>
      </c>
      <c r="H55" s="69">
        <v>0.9</v>
      </c>
      <c r="I55" s="63">
        <f>J55*200/150</f>
        <v>0</v>
      </c>
      <c r="J55" s="69">
        <v>0</v>
      </c>
      <c r="K55" s="63">
        <v>31.6</v>
      </c>
      <c r="L55" s="69">
        <v>23.7</v>
      </c>
      <c r="M55" s="63">
        <v>126</v>
      </c>
      <c r="N55" s="69">
        <v>94.5</v>
      </c>
      <c r="O55" s="62">
        <v>0.02</v>
      </c>
      <c r="P55" s="62">
        <f>O55*150/200</f>
        <v>0.015</v>
      </c>
      <c r="Q55" s="62">
        <v>0.01</v>
      </c>
      <c r="R55" s="62">
        <f>Q55*150/200</f>
        <v>0.0075</v>
      </c>
      <c r="S55" s="62">
        <v>0</v>
      </c>
      <c r="T55" s="20">
        <v>0</v>
      </c>
      <c r="U55" s="20">
        <v>12.3</v>
      </c>
      <c r="V55" s="20">
        <f>U55*150/200</f>
        <v>9.225</v>
      </c>
      <c r="W55" s="39">
        <v>2</v>
      </c>
      <c r="X55" s="82">
        <f>W55*150/200</f>
        <v>1.5</v>
      </c>
      <c r="Y55" s="22"/>
      <c r="Z55" s="22"/>
      <c r="AA55" s="22"/>
      <c r="AB55" s="22"/>
      <c r="AC55" s="22"/>
      <c r="AD55" s="22"/>
      <c r="AE55" s="22"/>
    </row>
    <row r="56" spans="1:31" s="68" customFormat="1" ht="15" customHeight="1">
      <c r="A56" s="129"/>
      <c r="B56" s="59" t="s">
        <v>30</v>
      </c>
      <c r="C56" s="60" t="s">
        <v>31</v>
      </c>
      <c r="D56" s="60" t="s">
        <v>31</v>
      </c>
      <c r="E56" s="61">
        <v>1.11</v>
      </c>
      <c r="F56" s="61">
        <v>1.11</v>
      </c>
      <c r="G56" s="61">
        <v>1.6</v>
      </c>
      <c r="H56" s="61">
        <v>1.6</v>
      </c>
      <c r="I56" s="61">
        <v>0.4</v>
      </c>
      <c r="J56" s="61">
        <v>0.4</v>
      </c>
      <c r="K56" s="61">
        <v>10</v>
      </c>
      <c r="L56" s="61">
        <v>10</v>
      </c>
      <c r="M56" s="62">
        <v>54</v>
      </c>
      <c r="N56" s="62">
        <v>54</v>
      </c>
      <c r="O56" s="65">
        <v>0.04</v>
      </c>
      <c r="P56" s="66">
        <v>0.04</v>
      </c>
      <c r="Q56" s="65">
        <v>0.02</v>
      </c>
      <c r="R56" s="66">
        <v>0.02</v>
      </c>
      <c r="S56" s="65">
        <v>0</v>
      </c>
      <c r="T56" s="66">
        <v>0</v>
      </c>
      <c r="U56" s="65">
        <v>7.4</v>
      </c>
      <c r="V56" s="66">
        <v>7.4</v>
      </c>
      <c r="W56" s="65">
        <v>0.56</v>
      </c>
      <c r="X56" s="66">
        <v>0.56</v>
      </c>
      <c r="Y56" s="67"/>
      <c r="Z56" s="67"/>
      <c r="AA56" s="67"/>
      <c r="AB56" s="67"/>
      <c r="AC56" s="67"/>
      <c r="AD56" s="67"/>
      <c r="AE56" s="67"/>
    </row>
    <row r="57" spans="1:31" ht="15" customHeight="1">
      <c r="A57" s="129"/>
      <c r="B57" s="59" t="s">
        <v>32</v>
      </c>
      <c r="C57" s="60" t="s">
        <v>89</v>
      </c>
      <c r="D57" s="60" t="s">
        <v>90</v>
      </c>
      <c r="E57" s="61">
        <v>2.09</v>
      </c>
      <c r="F57" s="61">
        <v>1.83</v>
      </c>
      <c r="G57" s="61">
        <v>3.25</v>
      </c>
      <c r="H57" s="62">
        <v>2.84</v>
      </c>
      <c r="I57" s="62">
        <v>0.46</v>
      </c>
      <c r="J57" s="62">
        <f>I57*40.6/46</f>
        <v>0.406</v>
      </c>
      <c r="K57" s="62">
        <v>20.88</v>
      </c>
      <c r="L57" s="62">
        <v>18.27</v>
      </c>
      <c r="M57" s="62">
        <v>102.08</v>
      </c>
      <c r="N57" s="62">
        <v>89.32</v>
      </c>
      <c r="O57" s="63">
        <v>0.06</v>
      </c>
      <c r="P57" s="69">
        <v>0.04</v>
      </c>
      <c r="Q57" s="63">
        <v>0.04</v>
      </c>
      <c r="R57" s="69">
        <v>0.03</v>
      </c>
      <c r="S57" s="63">
        <v>0</v>
      </c>
      <c r="T57" s="62">
        <f>S57*40.6/46</f>
        <v>0</v>
      </c>
      <c r="U57" s="65">
        <v>17</v>
      </c>
      <c r="V57" s="66">
        <v>13.6</v>
      </c>
      <c r="W57" s="65">
        <v>1.15</v>
      </c>
      <c r="X57" s="66">
        <v>0.92</v>
      </c>
      <c r="Y57" s="22"/>
      <c r="Z57" s="22"/>
      <c r="AA57" s="22"/>
      <c r="AB57" s="22"/>
      <c r="AC57" s="22"/>
      <c r="AD57" s="22"/>
      <c r="AE57" s="22"/>
    </row>
    <row r="58" spans="1:32" ht="15" customHeight="1">
      <c r="A58" s="16"/>
      <c r="B58" s="17" t="s">
        <v>23</v>
      </c>
      <c r="C58" s="18"/>
      <c r="D58" s="18"/>
      <c r="E58" s="28">
        <f>SUM(E51:E57)</f>
        <v>34.540000000000006</v>
      </c>
      <c r="F58" s="28">
        <f>SUM(F51:F57)</f>
        <v>31.279999999999994</v>
      </c>
      <c r="G58" s="28">
        <f>SUM(G51:G57)-5</f>
        <v>15.030000000000001</v>
      </c>
      <c r="H58" s="28">
        <f>SUM(H51:H57)+0</f>
        <v>17.92</v>
      </c>
      <c r="I58" s="28">
        <f aca="true" t="shared" si="13" ref="I58:T58">SUM(I51:I57)</f>
        <v>21.389999999999997</v>
      </c>
      <c r="J58" s="28">
        <f t="shared" si="13"/>
        <v>19.125999999999998</v>
      </c>
      <c r="K58" s="28">
        <f>SUM(K51:K57)+8</f>
        <v>112.66999999999999</v>
      </c>
      <c r="L58" s="28">
        <f>SUM(L51:L57)+0</f>
        <v>86.47999999999999</v>
      </c>
      <c r="M58" s="28">
        <f>SUM(M51:M57)-0</f>
        <v>691.9300000000001</v>
      </c>
      <c r="N58" s="28">
        <f>SUM(N51:N57)-42</f>
        <v>549.51</v>
      </c>
      <c r="O58" s="28">
        <f t="shared" si="13"/>
        <v>0.32</v>
      </c>
      <c r="P58" s="28">
        <f t="shared" si="13"/>
        <v>0.24436170212765962</v>
      </c>
      <c r="Q58" s="28">
        <f t="shared" si="13"/>
        <v>0.27</v>
      </c>
      <c r="R58" s="28">
        <f t="shared" si="13"/>
        <v>0.20898936170212767</v>
      </c>
      <c r="S58" s="28">
        <f t="shared" si="13"/>
        <v>31.97</v>
      </c>
      <c r="T58" s="28">
        <f t="shared" si="13"/>
        <v>27.97</v>
      </c>
      <c r="U58" s="28">
        <f aca="true" t="shared" si="14" ref="U58:AB58">SUM(U51:U57)</f>
        <v>180.14000000000001</v>
      </c>
      <c r="V58" s="28">
        <f t="shared" si="14"/>
        <v>141.76343971631204</v>
      </c>
      <c r="W58" s="28">
        <f t="shared" si="14"/>
        <v>8.030000000000001</v>
      </c>
      <c r="X58" s="28">
        <f t="shared" si="14"/>
        <v>5.921702127659575</v>
      </c>
      <c r="Y58" s="28">
        <f t="shared" si="14"/>
        <v>0</v>
      </c>
      <c r="Z58" s="28">
        <f t="shared" si="14"/>
        <v>0</v>
      </c>
      <c r="AA58" s="28">
        <f t="shared" si="14"/>
        <v>0</v>
      </c>
      <c r="AB58" s="28">
        <f t="shared" si="14"/>
        <v>0</v>
      </c>
      <c r="AC58" s="80"/>
      <c r="AD58" s="80"/>
      <c r="AE58" s="22"/>
      <c r="AF58" s="22"/>
    </row>
    <row r="59" spans="1:32" ht="15" customHeight="1">
      <c r="A59" s="16"/>
      <c r="B59" s="95" t="s">
        <v>42</v>
      </c>
      <c r="C59" s="18"/>
      <c r="D59" s="18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9"/>
      <c r="P59" s="29"/>
      <c r="Q59" s="29"/>
      <c r="R59" s="29"/>
      <c r="S59" s="29"/>
      <c r="T59" s="29"/>
      <c r="U59" s="29"/>
      <c r="V59" s="29"/>
      <c r="W59" s="29"/>
      <c r="X59" s="84"/>
      <c r="Y59" s="22"/>
      <c r="Z59" s="37"/>
      <c r="AA59" s="37"/>
      <c r="AB59" s="37"/>
      <c r="AC59" s="22"/>
      <c r="AD59" s="22"/>
      <c r="AE59" s="22"/>
      <c r="AF59" s="22"/>
    </row>
    <row r="60" spans="1:31" ht="15" customHeight="1">
      <c r="A60" s="129" t="s">
        <v>34</v>
      </c>
      <c r="B60" s="59" t="s">
        <v>35</v>
      </c>
      <c r="C60" s="60" t="s">
        <v>26</v>
      </c>
      <c r="D60" s="60" t="s">
        <v>26</v>
      </c>
      <c r="E60" s="61">
        <v>10.36</v>
      </c>
      <c r="F60" s="61">
        <v>10.36</v>
      </c>
      <c r="G60" s="61">
        <v>5.31</v>
      </c>
      <c r="H60" s="62">
        <v>5.31</v>
      </c>
      <c r="I60" s="61">
        <v>4.5</v>
      </c>
      <c r="J60" s="62">
        <v>4.5</v>
      </c>
      <c r="K60" s="61">
        <v>8.91</v>
      </c>
      <c r="L60" s="62">
        <v>8.91</v>
      </c>
      <c r="M60" s="61">
        <v>97.38</v>
      </c>
      <c r="N60" s="62">
        <v>97.38</v>
      </c>
      <c r="O60" s="61">
        <v>0.07</v>
      </c>
      <c r="P60" s="62">
        <v>0.07</v>
      </c>
      <c r="Q60" s="61">
        <v>0.3</v>
      </c>
      <c r="R60" s="62">
        <v>0.3</v>
      </c>
      <c r="S60" s="61">
        <v>2.46</v>
      </c>
      <c r="T60" s="62">
        <v>2.46</v>
      </c>
      <c r="U60" s="61">
        <v>275.74</v>
      </c>
      <c r="V60" s="62">
        <v>275.74</v>
      </c>
      <c r="W60" s="61">
        <v>0.23</v>
      </c>
      <c r="X60" s="62">
        <v>0.23</v>
      </c>
      <c r="Y60" s="37"/>
      <c r="Z60" s="37"/>
      <c r="AA60" s="37"/>
      <c r="AB60" s="37"/>
      <c r="AC60" s="37"/>
      <c r="AD60" s="37"/>
      <c r="AE60" s="22"/>
    </row>
    <row r="61" spans="1:32" ht="15" customHeight="1">
      <c r="A61" s="16"/>
      <c r="B61" s="17" t="s">
        <v>23</v>
      </c>
      <c r="C61" s="18"/>
      <c r="D61" s="18"/>
      <c r="E61" s="28">
        <f>SUM(E60)</f>
        <v>10.36</v>
      </c>
      <c r="F61" s="28">
        <f>SUM(F60)</f>
        <v>10.36</v>
      </c>
      <c r="G61" s="28">
        <f aca="true" t="shared" si="15" ref="G61:T61">SUM(G60)</f>
        <v>5.31</v>
      </c>
      <c r="H61" s="28">
        <f t="shared" si="15"/>
        <v>5.31</v>
      </c>
      <c r="I61" s="28">
        <f t="shared" si="15"/>
        <v>4.5</v>
      </c>
      <c r="J61" s="28">
        <f t="shared" si="15"/>
        <v>4.5</v>
      </c>
      <c r="K61" s="28">
        <f t="shared" si="15"/>
        <v>8.91</v>
      </c>
      <c r="L61" s="28">
        <f t="shared" si="15"/>
        <v>8.91</v>
      </c>
      <c r="M61" s="28">
        <f t="shared" si="15"/>
        <v>97.38</v>
      </c>
      <c r="N61" s="28">
        <f t="shared" si="15"/>
        <v>97.38</v>
      </c>
      <c r="O61" s="28">
        <f t="shared" si="15"/>
        <v>0.07</v>
      </c>
      <c r="P61" s="28">
        <f t="shared" si="15"/>
        <v>0.07</v>
      </c>
      <c r="Q61" s="28">
        <f t="shared" si="15"/>
        <v>0.3</v>
      </c>
      <c r="R61" s="28">
        <f t="shared" si="15"/>
        <v>0.3</v>
      </c>
      <c r="S61" s="28">
        <f t="shared" si="15"/>
        <v>2.46</v>
      </c>
      <c r="T61" s="28">
        <f t="shared" si="15"/>
        <v>2.46</v>
      </c>
      <c r="U61" s="28">
        <f>SUM(U60)</f>
        <v>275.74</v>
      </c>
      <c r="V61" s="28">
        <f>SUM(V60)</f>
        <v>275.74</v>
      </c>
      <c r="W61" s="28">
        <f>SUM(W60)</f>
        <v>0.23</v>
      </c>
      <c r="X61" s="83">
        <f>SUM(X60)</f>
        <v>0.23</v>
      </c>
      <c r="Y61" s="80"/>
      <c r="Z61" s="80"/>
      <c r="AA61" s="80"/>
      <c r="AB61" s="80"/>
      <c r="AC61" s="80"/>
      <c r="AD61" s="80"/>
      <c r="AE61" s="22"/>
      <c r="AF61" s="22"/>
    </row>
    <row r="62" spans="1:32" ht="15" customHeight="1">
      <c r="A62" s="16"/>
      <c r="B62" s="95" t="s">
        <v>36</v>
      </c>
      <c r="C62" s="18"/>
      <c r="D62" s="18"/>
      <c r="E62" s="19"/>
      <c r="F62" s="19"/>
      <c r="G62" s="19"/>
      <c r="H62" s="20"/>
      <c r="I62" s="20"/>
      <c r="J62" s="20"/>
      <c r="K62" s="20"/>
      <c r="L62" s="20"/>
      <c r="M62" s="20"/>
      <c r="N62" s="20"/>
      <c r="O62" s="29"/>
      <c r="P62" s="29"/>
      <c r="Q62" s="29"/>
      <c r="R62" s="29"/>
      <c r="S62" s="29"/>
      <c r="T62" s="29"/>
      <c r="U62" s="29"/>
      <c r="V62" s="29"/>
      <c r="W62" s="29"/>
      <c r="X62" s="84"/>
      <c r="Y62" s="22"/>
      <c r="Z62" s="37"/>
      <c r="AA62" s="37"/>
      <c r="AB62" s="37"/>
      <c r="AC62" s="22"/>
      <c r="AD62" s="22"/>
      <c r="AE62" s="22"/>
      <c r="AF62" s="22"/>
    </row>
    <row r="63" spans="1:33" ht="15" customHeight="1">
      <c r="A63" s="130"/>
      <c r="B63" s="17" t="s">
        <v>44</v>
      </c>
      <c r="C63" s="18" t="s">
        <v>205</v>
      </c>
      <c r="D63" s="18" t="s">
        <v>160</v>
      </c>
      <c r="E63" s="19">
        <v>15.95</v>
      </c>
      <c r="F63" s="19">
        <v>14.7</v>
      </c>
      <c r="G63" s="19">
        <v>0.6</v>
      </c>
      <c r="H63" s="20">
        <v>0.55</v>
      </c>
      <c r="I63" s="19">
        <v>0</v>
      </c>
      <c r="J63" s="20">
        <v>0</v>
      </c>
      <c r="K63" s="19">
        <v>14.7</v>
      </c>
      <c r="L63" s="20">
        <v>13.54</v>
      </c>
      <c r="M63" s="19">
        <v>57</v>
      </c>
      <c r="N63" s="20">
        <v>52.5</v>
      </c>
      <c r="O63" s="19">
        <v>0.02</v>
      </c>
      <c r="P63" s="20">
        <v>0.02</v>
      </c>
      <c r="Q63" s="19">
        <f>R63*160/150</f>
        <v>0.05333333333333334</v>
      </c>
      <c r="R63" s="20">
        <v>0.05</v>
      </c>
      <c r="S63" s="19">
        <v>24.01</v>
      </c>
      <c r="T63" s="20">
        <v>22.11</v>
      </c>
      <c r="U63" s="19">
        <v>24</v>
      </c>
      <c r="V63" s="20">
        <v>24</v>
      </c>
      <c r="W63" s="19">
        <v>3.3</v>
      </c>
      <c r="X63" s="39">
        <v>3.3</v>
      </c>
      <c r="Y63" s="88"/>
      <c r="Z63" s="37"/>
      <c r="AA63" s="37"/>
      <c r="AB63" s="37"/>
      <c r="AC63" s="22"/>
      <c r="AD63" s="22"/>
      <c r="AE63" s="22"/>
      <c r="AF63" s="22"/>
      <c r="AG63" s="22"/>
    </row>
    <row r="64" spans="1:24" s="32" customFormat="1" ht="26.25" customHeight="1">
      <c r="A64" s="130" t="s">
        <v>169</v>
      </c>
      <c r="B64" s="17" t="s">
        <v>170</v>
      </c>
      <c r="C64" s="18" t="s">
        <v>171</v>
      </c>
      <c r="D64" s="18" t="s">
        <v>172</v>
      </c>
      <c r="E64" s="19">
        <v>44.34</v>
      </c>
      <c r="F64" s="19">
        <v>33.62</v>
      </c>
      <c r="G64" s="19">
        <v>27.33</v>
      </c>
      <c r="H64" s="20">
        <v>20.33</v>
      </c>
      <c r="I64" s="20">
        <v>13.87</v>
      </c>
      <c r="J64" s="20">
        <v>11.37</v>
      </c>
      <c r="K64" s="20">
        <v>48.79</v>
      </c>
      <c r="L64" s="20">
        <v>36.29</v>
      </c>
      <c r="M64" s="20">
        <v>429.31</v>
      </c>
      <c r="N64" s="20">
        <v>328.81</v>
      </c>
      <c r="O64" s="146">
        <v>0.14</v>
      </c>
      <c r="P64" s="146">
        <v>0.11</v>
      </c>
      <c r="Q64" s="20">
        <v>0.1</v>
      </c>
      <c r="R64" s="146">
        <v>0.07</v>
      </c>
      <c r="S64" s="146">
        <v>0.57</v>
      </c>
      <c r="T64" s="146">
        <v>0.42</v>
      </c>
      <c r="U64" s="20">
        <v>170.14</v>
      </c>
      <c r="V64" s="20">
        <v>160.13</v>
      </c>
      <c r="W64" s="146">
        <v>0.72</v>
      </c>
      <c r="X64" s="146">
        <v>0.56</v>
      </c>
    </row>
    <row r="65" spans="1:31" ht="15" customHeight="1">
      <c r="A65" s="130" t="s">
        <v>105</v>
      </c>
      <c r="B65" s="23" t="s">
        <v>106</v>
      </c>
      <c r="C65" s="18" t="s">
        <v>21</v>
      </c>
      <c r="D65" s="18" t="s">
        <v>22</v>
      </c>
      <c r="E65" s="19">
        <v>0.55</v>
      </c>
      <c r="F65" s="19">
        <v>0.41</v>
      </c>
      <c r="G65" s="19">
        <v>0.18</v>
      </c>
      <c r="H65" s="20">
        <v>0.13</v>
      </c>
      <c r="I65" s="19">
        <f>J65*200/150</f>
        <v>0</v>
      </c>
      <c r="J65" s="20">
        <v>0</v>
      </c>
      <c r="K65" s="19">
        <v>4.78</v>
      </c>
      <c r="L65" s="20">
        <v>3.58</v>
      </c>
      <c r="M65" s="19">
        <v>19.9</v>
      </c>
      <c r="N65" s="20">
        <v>14.92</v>
      </c>
      <c r="O65" s="19">
        <f>P65*200/150</f>
        <v>0.013333333333333334</v>
      </c>
      <c r="P65" s="29">
        <v>0.01</v>
      </c>
      <c r="Q65" s="19">
        <f>R65*200/150</f>
        <v>0.013333333333333334</v>
      </c>
      <c r="R65" s="29">
        <v>0.01</v>
      </c>
      <c r="S65" s="19">
        <v>0.04</v>
      </c>
      <c r="T65" s="29">
        <v>0.03</v>
      </c>
      <c r="U65" s="19">
        <f>V65*200/150</f>
        <v>5.053333333333334</v>
      </c>
      <c r="V65" s="29">
        <v>3.79</v>
      </c>
      <c r="W65" s="19">
        <f>X65*200/150</f>
        <v>0.84</v>
      </c>
      <c r="X65" s="84">
        <v>0.63</v>
      </c>
      <c r="Y65" s="22"/>
      <c r="Z65" s="22"/>
      <c r="AA65" s="22"/>
      <c r="AB65" s="22"/>
      <c r="AC65" s="22"/>
      <c r="AD65" s="22"/>
      <c r="AE65" s="22"/>
    </row>
    <row r="66" spans="1:31" s="68" customFormat="1" ht="15" customHeight="1">
      <c r="A66" s="129"/>
      <c r="B66" s="59" t="s">
        <v>30</v>
      </c>
      <c r="C66" s="60" t="s">
        <v>31</v>
      </c>
      <c r="D66" s="60" t="s">
        <v>31</v>
      </c>
      <c r="E66" s="61">
        <v>1.11</v>
      </c>
      <c r="F66" s="61">
        <v>1.11</v>
      </c>
      <c r="G66" s="61">
        <v>1.6</v>
      </c>
      <c r="H66" s="61">
        <v>1.6</v>
      </c>
      <c r="I66" s="61">
        <v>0.4</v>
      </c>
      <c r="J66" s="61">
        <v>0.4</v>
      </c>
      <c r="K66" s="61">
        <v>10</v>
      </c>
      <c r="L66" s="61">
        <v>10</v>
      </c>
      <c r="M66" s="62">
        <v>54</v>
      </c>
      <c r="N66" s="62">
        <v>54</v>
      </c>
      <c r="O66" s="65">
        <v>0.04</v>
      </c>
      <c r="P66" s="66">
        <v>0.04</v>
      </c>
      <c r="Q66" s="65">
        <v>0.02</v>
      </c>
      <c r="R66" s="66">
        <v>0.02</v>
      </c>
      <c r="S66" s="65">
        <v>0</v>
      </c>
      <c r="T66" s="66">
        <v>0</v>
      </c>
      <c r="U66" s="65">
        <v>7.4</v>
      </c>
      <c r="V66" s="66">
        <v>7.4</v>
      </c>
      <c r="W66" s="65">
        <v>0.56</v>
      </c>
      <c r="X66" s="66">
        <v>0.56</v>
      </c>
      <c r="Y66" s="67"/>
      <c r="Z66" s="67"/>
      <c r="AA66" s="67"/>
      <c r="AB66" s="67"/>
      <c r="AC66" s="67"/>
      <c r="AD66" s="67"/>
      <c r="AE66" s="67"/>
    </row>
    <row r="67" spans="1:32" ht="15" customHeight="1">
      <c r="A67" s="16"/>
      <c r="B67" s="17" t="s">
        <v>23</v>
      </c>
      <c r="C67" s="18"/>
      <c r="D67" s="18"/>
      <c r="E67" s="28">
        <f>SUM(E63:E66)</f>
        <v>61.95</v>
      </c>
      <c r="F67" s="28">
        <f>SUM(F63:F66)</f>
        <v>49.83999999999999</v>
      </c>
      <c r="G67" s="28">
        <f aca="true" t="shared" si="16" ref="G67:T67">SUM(G63:G66)</f>
        <v>29.71</v>
      </c>
      <c r="H67" s="28">
        <f t="shared" si="16"/>
        <v>22.61</v>
      </c>
      <c r="I67" s="28">
        <f t="shared" si="16"/>
        <v>14.27</v>
      </c>
      <c r="J67" s="28">
        <f t="shared" si="16"/>
        <v>11.77</v>
      </c>
      <c r="K67" s="28">
        <f t="shared" si="16"/>
        <v>78.27</v>
      </c>
      <c r="L67" s="28">
        <f t="shared" si="16"/>
        <v>63.41</v>
      </c>
      <c r="M67" s="28">
        <f t="shared" si="16"/>
        <v>560.21</v>
      </c>
      <c r="N67" s="28">
        <f t="shared" si="16"/>
        <v>450.23</v>
      </c>
      <c r="O67" s="28">
        <f t="shared" si="16"/>
        <v>0.21333333333333335</v>
      </c>
      <c r="P67" s="28">
        <f t="shared" si="16"/>
        <v>0.18000000000000002</v>
      </c>
      <c r="Q67" s="28">
        <f t="shared" si="16"/>
        <v>0.18666666666666668</v>
      </c>
      <c r="R67" s="28">
        <f t="shared" si="16"/>
        <v>0.15</v>
      </c>
      <c r="S67" s="28">
        <f t="shared" si="16"/>
        <v>24.62</v>
      </c>
      <c r="T67" s="28">
        <f t="shared" si="16"/>
        <v>22.560000000000002</v>
      </c>
      <c r="U67" s="28">
        <f aca="true" t="shared" si="17" ref="U67:AB67">SUM(U63:U66)</f>
        <v>206.59333333333333</v>
      </c>
      <c r="V67" s="28">
        <f t="shared" si="17"/>
        <v>195.32</v>
      </c>
      <c r="W67" s="28">
        <f t="shared" si="17"/>
        <v>5.42</v>
      </c>
      <c r="X67" s="28">
        <f t="shared" si="17"/>
        <v>5.050000000000001</v>
      </c>
      <c r="Y67" s="28">
        <f t="shared" si="17"/>
        <v>0</v>
      </c>
      <c r="Z67" s="28">
        <f t="shared" si="17"/>
        <v>0</v>
      </c>
      <c r="AA67" s="28">
        <f t="shared" si="17"/>
        <v>0</v>
      </c>
      <c r="AB67" s="28">
        <f t="shared" si="17"/>
        <v>0</v>
      </c>
      <c r="AC67" s="80"/>
      <c r="AD67" s="22"/>
      <c r="AE67" s="22"/>
      <c r="AF67" s="22"/>
    </row>
    <row r="68" spans="1:32" ht="15" customHeight="1">
      <c r="A68" s="16"/>
      <c r="B68" s="17" t="s">
        <v>37</v>
      </c>
      <c r="C68" s="18"/>
      <c r="D68" s="18"/>
      <c r="E68" s="28">
        <f>E67+E61+E58+E49+E46</f>
        <v>132.83</v>
      </c>
      <c r="F68" s="28">
        <f>F67+F61+F58+F49+F46</f>
        <v>114.54999999999998</v>
      </c>
      <c r="G68" s="28">
        <f aca="true" t="shared" si="18" ref="G68:T68">G67+G61+G58+G49+G46</f>
        <v>65.39</v>
      </c>
      <c r="H68" s="28">
        <f t="shared" si="18"/>
        <v>59.230000000000004</v>
      </c>
      <c r="I68" s="28">
        <f t="shared" si="18"/>
        <v>58.51</v>
      </c>
      <c r="J68" s="28">
        <f t="shared" si="18"/>
        <v>51.676</v>
      </c>
      <c r="K68" s="28">
        <f t="shared" si="18"/>
        <v>254.38999999999996</v>
      </c>
      <c r="L68" s="28">
        <f t="shared" si="18"/>
        <v>204.78999999999996</v>
      </c>
      <c r="M68" s="28">
        <f t="shared" si="18"/>
        <v>1794.74</v>
      </c>
      <c r="N68" s="28">
        <f t="shared" si="18"/>
        <v>1481.34</v>
      </c>
      <c r="O68" s="28">
        <f t="shared" si="18"/>
        <v>0.8153333333333332</v>
      </c>
      <c r="P68" s="28">
        <f t="shared" si="18"/>
        <v>0.6518617021276596</v>
      </c>
      <c r="Q68" s="28">
        <f t="shared" si="18"/>
        <v>1.2246666666666668</v>
      </c>
      <c r="R68" s="28">
        <f t="shared" si="18"/>
        <v>1.0539893617021276</v>
      </c>
      <c r="S68" s="28">
        <f t="shared" si="18"/>
        <v>64.52</v>
      </c>
      <c r="T68" s="28">
        <f t="shared" si="18"/>
        <v>58.035000000000004</v>
      </c>
      <c r="U68" s="28">
        <f>U67+U61+U58+U49+U46</f>
        <v>894.9053333333334</v>
      </c>
      <c r="V68" s="28">
        <f>V67+V61+V58+V49+V46</f>
        <v>796.673439716312</v>
      </c>
      <c r="W68" s="28">
        <f>W67+W61+W58+W49+W46</f>
        <v>16.506</v>
      </c>
      <c r="X68" s="83">
        <f>X67+X61+X58+X49+X46</f>
        <v>13.516702127659578</v>
      </c>
      <c r="Y68" s="80"/>
      <c r="Z68" s="80"/>
      <c r="AA68" s="80"/>
      <c r="AB68" s="80"/>
      <c r="AC68" s="80"/>
      <c r="AD68" s="22"/>
      <c r="AE68" s="22"/>
      <c r="AF68" s="22"/>
    </row>
    <row r="69" spans="1:32" ht="15" customHeight="1">
      <c r="A69" s="16"/>
      <c r="B69" s="93" t="s">
        <v>197</v>
      </c>
      <c r="C69" s="18"/>
      <c r="D69" s="18"/>
      <c r="E69" s="28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84"/>
      <c r="Y69" s="22"/>
      <c r="Z69" s="37"/>
      <c r="AA69" s="37"/>
      <c r="AB69" s="37"/>
      <c r="AC69" s="22"/>
      <c r="AD69" s="22"/>
      <c r="AE69" s="22"/>
      <c r="AF69" s="22"/>
    </row>
    <row r="70" spans="1:32" ht="15" customHeight="1">
      <c r="A70" s="16"/>
      <c r="B70" s="95" t="s">
        <v>17</v>
      </c>
      <c r="C70" s="18"/>
      <c r="D70" s="18"/>
      <c r="E70" s="19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84"/>
      <c r="Y70" s="22"/>
      <c r="Z70" s="37"/>
      <c r="AA70" s="37"/>
      <c r="AB70" s="37"/>
      <c r="AC70" s="22"/>
      <c r="AD70" s="22"/>
      <c r="AE70" s="22"/>
      <c r="AF70" s="22"/>
    </row>
    <row r="71" spans="1:30" s="31" customFormat="1" ht="15" customHeight="1">
      <c r="A71" s="129" t="s">
        <v>38</v>
      </c>
      <c r="B71" s="59" t="s">
        <v>39</v>
      </c>
      <c r="C71" s="60" t="s">
        <v>101</v>
      </c>
      <c r="D71" s="60" t="s">
        <v>101</v>
      </c>
      <c r="E71" s="61">
        <v>4.03</v>
      </c>
      <c r="F71" s="61">
        <v>4.03</v>
      </c>
      <c r="G71" s="61">
        <v>1.63</v>
      </c>
      <c r="H71" s="62">
        <v>1.63</v>
      </c>
      <c r="I71" s="62">
        <v>4.7</v>
      </c>
      <c r="J71" s="62">
        <v>4.7</v>
      </c>
      <c r="K71" s="62">
        <v>10.4</v>
      </c>
      <c r="L71" s="62">
        <v>10.4</v>
      </c>
      <c r="M71" s="62">
        <v>90.42</v>
      </c>
      <c r="N71" s="62">
        <v>90.42</v>
      </c>
      <c r="O71" s="63">
        <v>0.08</v>
      </c>
      <c r="P71" s="69">
        <v>0.05</v>
      </c>
      <c r="Q71" s="63">
        <v>0.04</v>
      </c>
      <c r="R71" s="69">
        <v>0.02</v>
      </c>
      <c r="S71" s="63">
        <v>0</v>
      </c>
      <c r="T71" s="62">
        <f>S71*25/45</f>
        <v>0</v>
      </c>
      <c r="U71" s="65">
        <v>13.6</v>
      </c>
      <c r="V71" s="66">
        <v>8.6</v>
      </c>
      <c r="W71" s="65">
        <v>0.81</v>
      </c>
      <c r="X71" s="66">
        <v>0.49</v>
      </c>
      <c r="Y71" s="30"/>
      <c r="Z71" s="30"/>
      <c r="AA71" s="30"/>
      <c r="AB71" s="30"/>
      <c r="AC71" s="30"/>
      <c r="AD71" s="30"/>
    </row>
    <row r="72" spans="1:31" ht="24.75" customHeight="1">
      <c r="A72" s="130" t="s">
        <v>45</v>
      </c>
      <c r="B72" s="17" t="s">
        <v>118</v>
      </c>
      <c r="C72" s="77" t="s">
        <v>107</v>
      </c>
      <c r="D72" s="77" t="s">
        <v>108</v>
      </c>
      <c r="E72" s="34">
        <v>12.1</v>
      </c>
      <c r="F72" s="34">
        <v>9.46</v>
      </c>
      <c r="G72" s="34">
        <v>3.1</v>
      </c>
      <c r="H72" s="34">
        <v>2.4</v>
      </c>
      <c r="I72" s="34">
        <v>5</v>
      </c>
      <c r="J72" s="34">
        <v>3.8</v>
      </c>
      <c r="K72" s="34">
        <v>21.1</v>
      </c>
      <c r="L72" s="34">
        <v>16</v>
      </c>
      <c r="M72" s="34">
        <v>140</v>
      </c>
      <c r="N72" s="34">
        <v>107.8</v>
      </c>
      <c r="O72" s="123">
        <v>0.1</v>
      </c>
      <c r="P72" s="126">
        <f>O72*150/200</f>
        <v>0.075</v>
      </c>
      <c r="Q72" s="123">
        <v>0.25</v>
      </c>
      <c r="R72" s="126">
        <f>Q72*150/200</f>
        <v>0.1875</v>
      </c>
      <c r="S72" s="123">
        <v>0</v>
      </c>
      <c r="T72" s="34">
        <f>S72*153/203</f>
        <v>0</v>
      </c>
      <c r="U72" s="25">
        <v>175.2</v>
      </c>
      <c r="V72" s="20">
        <v>164.9</v>
      </c>
      <c r="W72" s="25">
        <v>0.9</v>
      </c>
      <c r="X72" s="82">
        <f>W72*150/200</f>
        <v>0.675</v>
      </c>
      <c r="Y72" s="22"/>
      <c r="Z72" s="22"/>
      <c r="AA72" s="22"/>
      <c r="AB72" s="22"/>
      <c r="AC72" s="22"/>
      <c r="AD72" s="22"/>
      <c r="AE72" s="22"/>
    </row>
    <row r="73" spans="1:31" ht="15" customHeight="1">
      <c r="A73" s="129" t="s">
        <v>46</v>
      </c>
      <c r="B73" s="59" t="s">
        <v>47</v>
      </c>
      <c r="C73" s="60" t="s">
        <v>26</v>
      </c>
      <c r="D73" s="60" t="s">
        <v>22</v>
      </c>
      <c r="E73" s="61">
        <v>6.02</v>
      </c>
      <c r="F73" s="61">
        <v>5.02</v>
      </c>
      <c r="G73" s="63">
        <v>2.95</v>
      </c>
      <c r="H73" s="63">
        <v>2.46</v>
      </c>
      <c r="I73" s="63">
        <v>3.24</v>
      </c>
      <c r="J73" s="63">
        <v>2.7</v>
      </c>
      <c r="K73" s="63">
        <v>22.82</v>
      </c>
      <c r="L73" s="63">
        <v>19.02</v>
      </c>
      <c r="M73" s="63">
        <v>132.26</v>
      </c>
      <c r="N73" s="62">
        <v>110.22</v>
      </c>
      <c r="O73" s="63">
        <f>P73*180/150</f>
        <v>0.024</v>
      </c>
      <c r="P73" s="69">
        <v>0.02</v>
      </c>
      <c r="Q73" s="63">
        <f>R73*180/150</f>
        <v>0.12</v>
      </c>
      <c r="R73" s="69">
        <v>0.1</v>
      </c>
      <c r="S73" s="63">
        <v>1.43</v>
      </c>
      <c r="T73" s="69">
        <v>1.2</v>
      </c>
      <c r="U73" s="63">
        <f>V73*180/150</f>
        <v>109.58399999999999</v>
      </c>
      <c r="V73" s="69">
        <v>91.32</v>
      </c>
      <c r="W73" s="63">
        <f>X73*180/150</f>
        <v>0.36</v>
      </c>
      <c r="X73" s="69">
        <v>0.3</v>
      </c>
      <c r="Y73" s="22"/>
      <c r="Z73" s="22"/>
      <c r="AA73" s="22"/>
      <c r="AB73" s="22"/>
      <c r="AC73" s="22"/>
      <c r="AD73" s="22"/>
      <c r="AE73" s="22"/>
    </row>
    <row r="74" spans="1:32" ht="15" customHeight="1">
      <c r="A74" s="16"/>
      <c r="B74" s="17" t="s">
        <v>23</v>
      </c>
      <c r="C74" s="18"/>
      <c r="D74" s="18"/>
      <c r="E74" s="28">
        <f>SUM(E71:E73)</f>
        <v>22.15</v>
      </c>
      <c r="F74" s="28">
        <f>SUM(F71:F73)</f>
        <v>18.51</v>
      </c>
      <c r="G74" s="28">
        <f aca="true" t="shared" si="19" ref="G74:T74">SUM(G71:G73)</f>
        <v>7.680000000000001</v>
      </c>
      <c r="H74" s="28">
        <f t="shared" si="19"/>
        <v>6.489999999999999</v>
      </c>
      <c r="I74" s="28">
        <f t="shared" si="19"/>
        <v>12.94</v>
      </c>
      <c r="J74" s="28">
        <f t="shared" si="19"/>
        <v>11.2</v>
      </c>
      <c r="K74" s="28">
        <f t="shared" si="19"/>
        <v>54.32</v>
      </c>
      <c r="L74" s="28">
        <f t="shared" si="19"/>
        <v>45.42</v>
      </c>
      <c r="M74" s="28">
        <f t="shared" si="19"/>
        <v>362.68</v>
      </c>
      <c r="N74" s="28">
        <f t="shared" si="19"/>
        <v>308.44</v>
      </c>
      <c r="O74" s="28">
        <f t="shared" si="19"/>
        <v>0.204</v>
      </c>
      <c r="P74" s="28">
        <f t="shared" si="19"/>
        <v>0.145</v>
      </c>
      <c r="Q74" s="28">
        <f t="shared" si="19"/>
        <v>0.41</v>
      </c>
      <c r="R74" s="28">
        <f t="shared" si="19"/>
        <v>0.3075</v>
      </c>
      <c r="S74" s="28">
        <f t="shared" si="19"/>
        <v>1.43</v>
      </c>
      <c r="T74" s="28">
        <f t="shared" si="19"/>
        <v>1.2</v>
      </c>
      <c r="U74" s="28">
        <f aca="true" t="shared" si="20" ref="U74:AB74">SUM(U71:U73)</f>
        <v>298.38399999999996</v>
      </c>
      <c r="V74" s="28">
        <f t="shared" si="20"/>
        <v>264.82</v>
      </c>
      <c r="W74" s="28">
        <f t="shared" si="20"/>
        <v>2.07</v>
      </c>
      <c r="X74" s="28">
        <f t="shared" si="20"/>
        <v>1.465</v>
      </c>
      <c r="Y74" s="28">
        <f t="shared" si="20"/>
        <v>0</v>
      </c>
      <c r="Z74" s="28">
        <f t="shared" si="20"/>
        <v>0</v>
      </c>
      <c r="AA74" s="28">
        <f t="shared" si="20"/>
        <v>0</v>
      </c>
      <c r="AB74" s="28">
        <f t="shared" si="20"/>
        <v>0</v>
      </c>
      <c r="AC74" s="80"/>
      <c r="AD74" s="80"/>
      <c r="AE74" s="80"/>
      <c r="AF74" s="22"/>
    </row>
    <row r="75" spans="1:32" ht="15" customHeight="1">
      <c r="A75" s="16"/>
      <c r="B75" s="95" t="s">
        <v>41</v>
      </c>
      <c r="C75" s="18"/>
      <c r="D75" s="18"/>
      <c r="E75" s="19"/>
      <c r="F75" s="19"/>
      <c r="G75" s="19"/>
      <c r="H75" s="20"/>
      <c r="I75" s="20"/>
      <c r="J75" s="20"/>
      <c r="K75" s="20"/>
      <c r="L75" s="20"/>
      <c r="M75" s="20"/>
      <c r="N75" s="20"/>
      <c r="O75" s="29"/>
      <c r="P75" s="29"/>
      <c r="Q75" s="29"/>
      <c r="R75" s="29"/>
      <c r="S75" s="29"/>
      <c r="T75" s="29"/>
      <c r="U75" s="29"/>
      <c r="V75" s="29"/>
      <c r="W75" s="29"/>
      <c r="X75" s="84"/>
      <c r="Y75" s="22"/>
      <c r="Z75" s="37"/>
      <c r="AA75" s="37"/>
      <c r="AB75" s="37"/>
      <c r="AC75" s="22"/>
      <c r="AD75" s="22"/>
      <c r="AE75" s="22"/>
      <c r="AF75" s="22"/>
    </row>
    <row r="76" spans="1:30" ht="15" customHeight="1">
      <c r="A76" s="154" t="s">
        <v>43</v>
      </c>
      <c r="B76" s="17" t="s">
        <v>83</v>
      </c>
      <c r="C76" s="18" t="s">
        <v>22</v>
      </c>
      <c r="D76" s="18" t="s">
        <v>168</v>
      </c>
      <c r="E76" s="19">
        <v>12.36</v>
      </c>
      <c r="F76" s="19">
        <v>11.12</v>
      </c>
      <c r="G76" s="25">
        <v>5.1</v>
      </c>
      <c r="H76" s="25">
        <v>4.2</v>
      </c>
      <c r="I76" s="25">
        <v>4.56</v>
      </c>
      <c r="J76" s="25">
        <v>3.51</v>
      </c>
      <c r="K76" s="25">
        <v>6.8</v>
      </c>
      <c r="L76" s="25">
        <v>5.6</v>
      </c>
      <c r="M76" s="25">
        <v>85.56</v>
      </c>
      <c r="N76" s="25">
        <v>70.71</v>
      </c>
      <c r="O76" s="25">
        <f>P76*180/150</f>
        <v>0.06</v>
      </c>
      <c r="P76" s="25">
        <v>0.05</v>
      </c>
      <c r="Q76" s="25">
        <f>R76*180/150</f>
        <v>0.31200000000000006</v>
      </c>
      <c r="R76" s="25">
        <v>0.26</v>
      </c>
      <c r="S76" s="25">
        <v>3.4</v>
      </c>
      <c r="T76" s="25">
        <v>2.8</v>
      </c>
      <c r="U76" s="61">
        <v>235.31</v>
      </c>
      <c r="V76" s="62">
        <f>U76*150/180</f>
        <v>196.09166666666667</v>
      </c>
      <c r="W76" s="61">
        <v>0.19</v>
      </c>
      <c r="X76" s="89">
        <f>W76*150/180</f>
        <v>0.15833333333333333</v>
      </c>
      <c r="Y76" s="87"/>
      <c r="Z76" s="37"/>
      <c r="AA76" s="37"/>
      <c r="AB76" s="37"/>
      <c r="AC76" s="37"/>
      <c r="AD76" s="37"/>
    </row>
    <row r="77" spans="1:32" ht="15" customHeight="1">
      <c r="A77" s="16"/>
      <c r="B77" s="17" t="s">
        <v>23</v>
      </c>
      <c r="C77" s="18"/>
      <c r="D77" s="18"/>
      <c r="E77" s="28">
        <f>SUM(E76)</f>
        <v>12.36</v>
      </c>
      <c r="F77" s="28">
        <f>SUM(F76)</f>
        <v>11.12</v>
      </c>
      <c r="G77" s="28">
        <f aca="true" t="shared" si="21" ref="G77:T77">SUM(G76)</f>
        <v>5.1</v>
      </c>
      <c r="H77" s="28">
        <f t="shared" si="21"/>
        <v>4.2</v>
      </c>
      <c r="I77" s="28">
        <f t="shared" si="21"/>
        <v>4.56</v>
      </c>
      <c r="J77" s="28">
        <f t="shared" si="21"/>
        <v>3.51</v>
      </c>
      <c r="K77" s="28">
        <f t="shared" si="21"/>
        <v>6.8</v>
      </c>
      <c r="L77" s="28">
        <f t="shared" si="21"/>
        <v>5.6</v>
      </c>
      <c r="M77" s="28">
        <f t="shared" si="21"/>
        <v>85.56</v>
      </c>
      <c r="N77" s="28">
        <f t="shared" si="21"/>
        <v>70.71</v>
      </c>
      <c r="O77" s="28">
        <f t="shared" si="21"/>
        <v>0.06</v>
      </c>
      <c r="P77" s="28">
        <f t="shared" si="21"/>
        <v>0.05</v>
      </c>
      <c r="Q77" s="28">
        <f t="shared" si="21"/>
        <v>0.31200000000000006</v>
      </c>
      <c r="R77" s="28">
        <f t="shared" si="21"/>
        <v>0.26</v>
      </c>
      <c r="S77" s="28">
        <f t="shared" si="21"/>
        <v>3.4</v>
      </c>
      <c r="T77" s="28">
        <f t="shared" si="21"/>
        <v>2.8</v>
      </c>
      <c r="U77" s="28">
        <f>SUM(U76)</f>
        <v>235.31</v>
      </c>
      <c r="V77" s="28">
        <f>SUM(V76)</f>
        <v>196.09166666666667</v>
      </c>
      <c r="W77" s="28">
        <f>SUM(W76)</f>
        <v>0.19</v>
      </c>
      <c r="X77" s="83">
        <f>SUM(X76)</f>
        <v>0.15833333333333333</v>
      </c>
      <c r="Y77" s="80"/>
      <c r="Z77" s="80"/>
      <c r="AA77" s="80"/>
      <c r="AB77" s="80"/>
      <c r="AC77" s="80"/>
      <c r="AD77" s="80"/>
      <c r="AE77" s="80"/>
      <c r="AF77" s="22"/>
    </row>
    <row r="78" spans="1:32" ht="15" customHeight="1">
      <c r="A78" s="16"/>
      <c r="B78" s="95" t="s">
        <v>27</v>
      </c>
      <c r="C78" s="18"/>
      <c r="D78" s="18"/>
      <c r="E78" s="33"/>
      <c r="F78" s="19"/>
      <c r="G78" s="19"/>
      <c r="H78" s="20"/>
      <c r="I78" s="20"/>
      <c r="J78" s="20"/>
      <c r="K78" s="20"/>
      <c r="L78" s="20"/>
      <c r="M78" s="20"/>
      <c r="N78" s="20"/>
      <c r="O78" s="29"/>
      <c r="P78" s="29"/>
      <c r="Q78" s="29"/>
      <c r="R78" s="29"/>
      <c r="S78" s="29"/>
      <c r="T78" s="29"/>
      <c r="U78" s="29"/>
      <c r="V78" s="29"/>
      <c r="W78" s="29"/>
      <c r="X78" s="84"/>
      <c r="Y78" s="22"/>
      <c r="Z78" s="37"/>
      <c r="AA78" s="37"/>
      <c r="AB78" s="37"/>
      <c r="AC78" s="22"/>
      <c r="AD78" s="22"/>
      <c r="AE78" s="22"/>
      <c r="AF78" s="22"/>
    </row>
    <row r="79" spans="1:24" ht="15.75" customHeight="1">
      <c r="A79" s="144"/>
      <c r="B79" s="64" t="s">
        <v>166</v>
      </c>
      <c r="C79" s="60" t="s">
        <v>167</v>
      </c>
      <c r="D79" s="60" t="s">
        <v>167</v>
      </c>
      <c r="E79" s="61">
        <v>1.74</v>
      </c>
      <c r="F79" s="61">
        <v>1.74</v>
      </c>
      <c r="G79" s="62">
        <v>0.4</v>
      </c>
      <c r="H79" s="62">
        <v>0.4</v>
      </c>
      <c r="I79" s="62">
        <v>0</v>
      </c>
      <c r="J79" s="62">
        <v>0</v>
      </c>
      <c r="K79" s="62">
        <v>1.3</v>
      </c>
      <c r="L79" s="62">
        <v>1.3</v>
      </c>
      <c r="M79" s="62">
        <v>6.75</v>
      </c>
      <c r="N79" s="62">
        <v>6.75</v>
      </c>
      <c r="O79" s="62">
        <f>P79*35/30</f>
        <v>0.023333333333333334</v>
      </c>
      <c r="P79" s="62">
        <v>0.02</v>
      </c>
      <c r="Q79" s="62">
        <f>R79*35/30</f>
        <v>0.011666666666666667</v>
      </c>
      <c r="R79" s="62">
        <v>0.01</v>
      </c>
      <c r="S79" s="62">
        <v>5</v>
      </c>
      <c r="T79" s="62">
        <v>5</v>
      </c>
      <c r="U79" s="62">
        <f>V79*35/30</f>
        <v>5.121666666666666</v>
      </c>
      <c r="V79" s="62">
        <v>4.39</v>
      </c>
      <c r="W79" s="62">
        <f>X79*35/30</f>
        <v>0.35</v>
      </c>
      <c r="X79" s="62">
        <v>0.3</v>
      </c>
    </row>
    <row r="80" spans="1:31" s="31" customFormat="1" ht="23.25" customHeight="1">
      <c r="A80" s="129" t="s">
        <v>181</v>
      </c>
      <c r="B80" s="64" t="s">
        <v>182</v>
      </c>
      <c r="C80" s="60" t="s">
        <v>21</v>
      </c>
      <c r="D80" s="60" t="s">
        <v>22</v>
      </c>
      <c r="E80" s="61">
        <v>4.73</v>
      </c>
      <c r="F80" s="61">
        <v>3.55</v>
      </c>
      <c r="G80" s="63">
        <v>4.96</v>
      </c>
      <c r="H80" s="63">
        <v>3.72</v>
      </c>
      <c r="I80" s="63">
        <v>4.48</v>
      </c>
      <c r="J80" s="63">
        <v>3.36</v>
      </c>
      <c r="K80" s="63">
        <v>17.84</v>
      </c>
      <c r="L80" s="63">
        <v>13.38</v>
      </c>
      <c r="M80" s="63">
        <v>131.52</v>
      </c>
      <c r="N80" s="63">
        <v>98.64</v>
      </c>
      <c r="O80" s="62">
        <v>0.12</v>
      </c>
      <c r="P80" s="62">
        <v>0.11</v>
      </c>
      <c r="Q80" s="62">
        <v>0.1</v>
      </c>
      <c r="R80" s="62">
        <v>0.11</v>
      </c>
      <c r="S80" s="62">
        <v>4.6</v>
      </c>
      <c r="T80" s="63">
        <v>3.45</v>
      </c>
      <c r="U80" s="29">
        <v>42.44</v>
      </c>
      <c r="V80" s="29">
        <v>30.79</v>
      </c>
      <c r="W80" s="29">
        <v>1.67</v>
      </c>
      <c r="X80" s="84">
        <v>1.45</v>
      </c>
      <c r="Y80" s="30"/>
      <c r="Z80" s="30"/>
      <c r="AA80" s="30"/>
      <c r="AB80" s="30"/>
      <c r="AC80" s="30"/>
      <c r="AD80" s="30"/>
      <c r="AE80" s="30"/>
    </row>
    <row r="81" spans="1:29" s="31" customFormat="1" ht="15" customHeight="1">
      <c r="A81" s="130" t="s">
        <v>141</v>
      </c>
      <c r="B81" s="17" t="s">
        <v>142</v>
      </c>
      <c r="C81" s="18" t="s">
        <v>29</v>
      </c>
      <c r="D81" s="18" t="s">
        <v>29</v>
      </c>
      <c r="E81" s="19">
        <v>18.33</v>
      </c>
      <c r="F81" s="19">
        <v>18.33</v>
      </c>
      <c r="G81" s="19">
        <v>10</v>
      </c>
      <c r="H81" s="19">
        <v>10</v>
      </c>
      <c r="I81" s="20">
        <v>3</v>
      </c>
      <c r="J81" s="20">
        <v>3</v>
      </c>
      <c r="K81" s="20">
        <v>6</v>
      </c>
      <c r="L81" s="20">
        <v>6</v>
      </c>
      <c r="M81" s="20">
        <v>90</v>
      </c>
      <c r="N81" s="20">
        <v>90</v>
      </c>
      <c r="O81" s="20">
        <v>0.07</v>
      </c>
      <c r="P81" s="20">
        <v>0.07</v>
      </c>
      <c r="Q81" s="20">
        <v>0.09</v>
      </c>
      <c r="R81" s="20">
        <v>0.09</v>
      </c>
      <c r="S81" s="20">
        <v>0.35</v>
      </c>
      <c r="T81" s="20">
        <v>0.35</v>
      </c>
      <c r="U81" s="29">
        <v>5.85</v>
      </c>
      <c r="V81" s="29">
        <v>5.85</v>
      </c>
      <c r="W81" s="29">
        <v>0.85</v>
      </c>
      <c r="X81" s="29">
        <v>0.85</v>
      </c>
      <c r="Z81" s="30"/>
      <c r="AA81" s="30"/>
      <c r="AB81" s="30"/>
      <c r="AC81" s="30"/>
    </row>
    <row r="82" spans="1:31" ht="15.75" customHeight="1">
      <c r="A82" s="130" t="s">
        <v>18</v>
      </c>
      <c r="B82" s="17" t="s">
        <v>111</v>
      </c>
      <c r="C82" s="18" t="s">
        <v>68</v>
      </c>
      <c r="D82" s="18" t="s">
        <v>97</v>
      </c>
      <c r="E82" s="19">
        <v>3.24</v>
      </c>
      <c r="F82" s="19">
        <v>2.49</v>
      </c>
      <c r="G82" s="20">
        <f>H82*130/100</f>
        <v>3.9</v>
      </c>
      <c r="H82" s="20">
        <v>3</v>
      </c>
      <c r="I82" s="20">
        <f>J82*130/100</f>
        <v>5.85</v>
      </c>
      <c r="J82" s="20">
        <v>4.5</v>
      </c>
      <c r="K82" s="20">
        <f>L82*130/100</f>
        <v>19.37</v>
      </c>
      <c r="L82" s="20">
        <v>14.9</v>
      </c>
      <c r="M82" s="20">
        <f>N82*130/100</f>
        <v>145.73</v>
      </c>
      <c r="N82" s="20">
        <v>112.1</v>
      </c>
      <c r="O82" s="20">
        <f>P82*130/100</f>
        <v>0.039</v>
      </c>
      <c r="P82" s="20">
        <v>0.03</v>
      </c>
      <c r="Q82" s="20">
        <f>R82*130/100</f>
        <v>0.013000000000000001</v>
      </c>
      <c r="R82" s="20">
        <v>0.01</v>
      </c>
      <c r="S82" s="20">
        <f>T82*130/100</f>
        <v>0</v>
      </c>
      <c r="T82" s="20">
        <v>0</v>
      </c>
      <c r="U82" s="20">
        <f>V82*130/100</f>
        <v>11.973000000000003</v>
      </c>
      <c r="V82" s="20">
        <v>9.21</v>
      </c>
      <c r="W82" s="20">
        <f>X82*130/100</f>
        <v>0.9620000000000001</v>
      </c>
      <c r="X82" s="20">
        <v>0.74</v>
      </c>
      <c r="Y82" s="117"/>
      <c r="Z82" s="118"/>
      <c r="AA82" s="118"/>
      <c r="AB82" s="118"/>
      <c r="AC82" s="22"/>
      <c r="AD82" s="22"/>
      <c r="AE82" s="22"/>
    </row>
    <row r="83" spans="1:31" ht="15.75" customHeight="1">
      <c r="A83" s="130" t="s">
        <v>183</v>
      </c>
      <c r="B83" s="17" t="s">
        <v>184</v>
      </c>
      <c r="C83" s="18" t="s">
        <v>21</v>
      </c>
      <c r="D83" s="18" t="s">
        <v>22</v>
      </c>
      <c r="E83" s="19">
        <v>3.94</v>
      </c>
      <c r="F83" s="19">
        <v>3.94</v>
      </c>
      <c r="G83" s="25">
        <v>0.12</v>
      </c>
      <c r="H83" s="26">
        <f>G83*150/200</f>
        <v>0.09</v>
      </c>
      <c r="I83" s="25">
        <v>0.04</v>
      </c>
      <c r="J83" s="26">
        <f>I83*150/200</f>
        <v>0.03</v>
      </c>
      <c r="K83" s="25">
        <v>21.42</v>
      </c>
      <c r="L83" s="26">
        <f>K83*150/200</f>
        <v>16.065</v>
      </c>
      <c r="M83" s="25">
        <v>86.44</v>
      </c>
      <c r="N83" s="26">
        <f>M83*150/200</f>
        <v>64.83</v>
      </c>
      <c r="O83" s="20">
        <v>0.02</v>
      </c>
      <c r="P83" s="20">
        <f>O83*150/200</f>
        <v>0.015</v>
      </c>
      <c r="Q83" s="20">
        <v>0.01</v>
      </c>
      <c r="R83" s="20">
        <f>Q83*150/200</f>
        <v>0.0075</v>
      </c>
      <c r="S83" s="20">
        <v>5</v>
      </c>
      <c r="T83" s="26">
        <f>S83*150/200</f>
        <v>3.75</v>
      </c>
      <c r="U83" s="29">
        <v>25.91</v>
      </c>
      <c r="V83" s="20">
        <f>U83*150/200</f>
        <v>19.4325</v>
      </c>
      <c r="W83" s="29">
        <v>0.65</v>
      </c>
      <c r="X83" s="82">
        <f>W83*150/200</f>
        <v>0.4875</v>
      </c>
      <c r="Y83" s="22"/>
      <c r="Z83" s="22"/>
      <c r="AA83" s="22"/>
      <c r="AB83" s="22"/>
      <c r="AC83" s="22"/>
      <c r="AD83" s="22"/>
      <c r="AE83" s="22"/>
    </row>
    <row r="84" spans="1:31" s="68" customFormat="1" ht="15" customHeight="1">
      <c r="A84" s="129"/>
      <c r="B84" s="59" t="s">
        <v>30</v>
      </c>
      <c r="C84" s="60" t="s">
        <v>31</v>
      </c>
      <c r="D84" s="60" t="s">
        <v>31</v>
      </c>
      <c r="E84" s="61">
        <v>1.11</v>
      </c>
      <c r="F84" s="61">
        <v>1.11</v>
      </c>
      <c r="G84" s="61">
        <v>1.6</v>
      </c>
      <c r="H84" s="61">
        <v>1.6</v>
      </c>
      <c r="I84" s="61">
        <v>0.4</v>
      </c>
      <c r="J84" s="61">
        <v>0.4</v>
      </c>
      <c r="K84" s="61">
        <v>10</v>
      </c>
      <c r="L84" s="61">
        <v>10</v>
      </c>
      <c r="M84" s="62">
        <v>54</v>
      </c>
      <c r="N84" s="62">
        <v>54</v>
      </c>
      <c r="O84" s="65">
        <v>0.04</v>
      </c>
      <c r="P84" s="66">
        <v>0.04</v>
      </c>
      <c r="Q84" s="65">
        <v>0.02</v>
      </c>
      <c r="R84" s="66">
        <v>0.02</v>
      </c>
      <c r="S84" s="65">
        <v>0</v>
      </c>
      <c r="T84" s="66">
        <v>0</v>
      </c>
      <c r="U84" s="65">
        <v>7.4</v>
      </c>
      <c r="V84" s="66">
        <v>7.4</v>
      </c>
      <c r="W84" s="65">
        <v>0.56</v>
      </c>
      <c r="X84" s="66">
        <v>0.56</v>
      </c>
      <c r="Y84" s="67"/>
      <c r="Z84" s="67"/>
      <c r="AA84" s="67"/>
      <c r="AB84" s="67"/>
      <c r="AC84" s="67"/>
      <c r="AD84" s="67"/>
      <c r="AE84" s="67"/>
    </row>
    <row r="85" spans="1:31" ht="15" customHeight="1">
      <c r="A85" s="129"/>
      <c r="B85" s="59" t="s">
        <v>32</v>
      </c>
      <c r="C85" s="60" t="s">
        <v>89</v>
      </c>
      <c r="D85" s="60" t="s">
        <v>90</v>
      </c>
      <c r="E85" s="61">
        <v>2.09</v>
      </c>
      <c r="F85" s="61">
        <v>1.83</v>
      </c>
      <c r="G85" s="61">
        <v>3.25</v>
      </c>
      <c r="H85" s="62">
        <v>2.84</v>
      </c>
      <c r="I85" s="62">
        <v>0.46</v>
      </c>
      <c r="J85" s="62">
        <f>I85*40.6/46</f>
        <v>0.406</v>
      </c>
      <c r="K85" s="62">
        <v>20.88</v>
      </c>
      <c r="L85" s="62">
        <v>18.27</v>
      </c>
      <c r="M85" s="62">
        <v>102.08</v>
      </c>
      <c r="N85" s="62">
        <v>89.32</v>
      </c>
      <c r="O85" s="63">
        <v>0.06</v>
      </c>
      <c r="P85" s="69">
        <v>0.04</v>
      </c>
      <c r="Q85" s="63">
        <v>0.04</v>
      </c>
      <c r="R85" s="69">
        <v>0.03</v>
      </c>
      <c r="S85" s="63">
        <v>0</v>
      </c>
      <c r="T85" s="62">
        <f>S85*40.6/46</f>
        <v>0</v>
      </c>
      <c r="U85" s="65">
        <v>17</v>
      </c>
      <c r="V85" s="66">
        <v>13.6</v>
      </c>
      <c r="W85" s="65">
        <v>1.15</v>
      </c>
      <c r="X85" s="66">
        <v>0.92</v>
      </c>
      <c r="Y85" s="22"/>
      <c r="Z85" s="22"/>
      <c r="AA85" s="22"/>
      <c r="AB85" s="22"/>
      <c r="AC85" s="22"/>
      <c r="AD85" s="22"/>
      <c r="AE85" s="22"/>
    </row>
    <row r="86" spans="1:32" ht="15" customHeight="1">
      <c r="A86" s="16"/>
      <c r="B86" s="17" t="s">
        <v>23</v>
      </c>
      <c r="C86" s="18"/>
      <c r="D86" s="18"/>
      <c r="E86" s="28">
        <f>SUM(E79:E85)</f>
        <v>35.18000000000001</v>
      </c>
      <c r="F86" s="28">
        <f>SUM(F79:F85)</f>
        <v>32.99</v>
      </c>
      <c r="G86" s="28">
        <f>SUM(G79:G85)-4</f>
        <v>20.23</v>
      </c>
      <c r="H86" s="28">
        <f>SUM(H79:H85)-5</f>
        <v>16.650000000000002</v>
      </c>
      <c r="I86" s="28">
        <f aca="true" t="shared" si="22" ref="I86:T86">SUM(I79:I85)</f>
        <v>14.23</v>
      </c>
      <c r="J86" s="28">
        <f t="shared" si="22"/>
        <v>11.696</v>
      </c>
      <c r="K86" s="28">
        <f>SUM(K79:K85)+10</f>
        <v>106.81</v>
      </c>
      <c r="L86" s="28">
        <f>SUM(L79:L85)+0</f>
        <v>79.91499999999999</v>
      </c>
      <c r="M86" s="28">
        <f>SUM(M79:M85)-0</f>
        <v>616.5200000000001</v>
      </c>
      <c r="N86" s="28">
        <f>SUM(N79:N85)-42</f>
        <v>473.64</v>
      </c>
      <c r="O86" s="28">
        <f t="shared" si="22"/>
        <v>0.37233333333333335</v>
      </c>
      <c r="P86" s="28">
        <f t="shared" si="22"/>
        <v>0.32499999999999996</v>
      </c>
      <c r="Q86" s="28">
        <f t="shared" si="22"/>
        <v>0.2846666666666667</v>
      </c>
      <c r="R86" s="28">
        <f t="shared" si="22"/>
        <v>0.27749999999999997</v>
      </c>
      <c r="S86" s="28">
        <f t="shared" si="22"/>
        <v>14.95</v>
      </c>
      <c r="T86" s="28">
        <f t="shared" si="22"/>
        <v>12.549999999999999</v>
      </c>
      <c r="U86" s="28">
        <f>SUM(U79:U85)</f>
        <v>115.69466666666668</v>
      </c>
      <c r="V86" s="28">
        <f>SUM(V79:V85)</f>
        <v>90.6725</v>
      </c>
      <c r="W86" s="28">
        <f>SUM(W79:W85)</f>
        <v>6.192</v>
      </c>
      <c r="X86" s="83">
        <f>SUM(X79:X85)</f>
        <v>5.307499999999999</v>
      </c>
      <c r="Y86" s="80"/>
      <c r="Z86" s="80"/>
      <c r="AA86" s="80"/>
      <c r="AB86" s="80"/>
      <c r="AC86" s="80"/>
      <c r="AD86" s="22"/>
      <c r="AE86" s="22"/>
      <c r="AF86" s="22"/>
    </row>
    <row r="87" spans="1:32" ht="15" customHeight="1">
      <c r="A87" s="16"/>
      <c r="B87" s="95" t="s">
        <v>42</v>
      </c>
      <c r="C87" s="18"/>
      <c r="D87" s="18"/>
      <c r="E87" s="19"/>
      <c r="F87" s="19"/>
      <c r="G87" s="19"/>
      <c r="H87" s="20"/>
      <c r="I87" s="20"/>
      <c r="J87" s="20"/>
      <c r="K87" s="20"/>
      <c r="L87" s="20"/>
      <c r="M87" s="20"/>
      <c r="N87" s="20"/>
      <c r="O87" s="29"/>
      <c r="P87" s="29"/>
      <c r="Q87" s="29"/>
      <c r="R87" s="29"/>
      <c r="S87" s="29"/>
      <c r="T87" s="29"/>
      <c r="U87" s="29"/>
      <c r="V87" s="29"/>
      <c r="W87" s="29"/>
      <c r="X87" s="84"/>
      <c r="Y87" s="22"/>
      <c r="Z87" s="37"/>
      <c r="AA87" s="37"/>
      <c r="AB87" s="37"/>
      <c r="AC87" s="22"/>
      <c r="AD87" s="22"/>
      <c r="AE87" s="22"/>
      <c r="AF87" s="22"/>
    </row>
    <row r="88" spans="1:31" ht="15" customHeight="1">
      <c r="A88" s="129" t="s">
        <v>34</v>
      </c>
      <c r="B88" s="59" t="s">
        <v>35</v>
      </c>
      <c r="C88" s="60" t="s">
        <v>26</v>
      </c>
      <c r="D88" s="60" t="s">
        <v>26</v>
      </c>
      <c r="E88" s="61">
        <v>10.36</v>
      </c>
      <c r="F88" s="61">
        <v>10.36</v>
      </c>
      <c r="G88" s="61">
        <v>5.31</v>
      </c>
      <c r="H88" s="62">
        <v>5.31</v>
      </c>
      <c r="I88" s="61">
        <v>4.5</v>
      </c>
      <c r="J88" s="62">
        <v>4.5</v>
      </c>
      <c r="K88" s="61">
        <v>8.91</v>
      </c>
      <c r="L88" s="62">
        <v>8.91</v>
      </c>
      <c r="M88" s="61">
        <v>97.38</v>
      </c>
      <c r="N88" s="62">
        <v>97.38</v>
      </c>
      <c r="O88" s="61">
        <v>0.07</v>
      </c>
      <c r="P88" s="62">
        <v>0.07</v>
      </c>
      <c r="Q88" s="61">
        <v>0.3</v>
      </c>
      <c r="R88" s="62">
        <v>0.3</v>
      </c>
      <c r="S88" s="61">
        <v>2.46</v>
      </c>
      <c r="T88" s="62">
        <v>2.46</v>
      </c>
      <c r="U88" s="61">
        <v>275.74</v>
      </c>
      <c r="V88" s="62">
        <v>275.74</v>
      </c>
      <c r="W88" s="61">
        <v>0.23</v>
      </c>
      <c r="X88" s="62">
        <v>0.23</v>
      </c>
      <c r="Y88" s="37"/>
      <c r="Z88" s="37"/>
      <c r="AA88" s="37"/>
      <c r="AB88" s="37"/>
      <c r="AC88" s="37"/>
      <c r="AD88" s="37"/>
      <c r="AE88" s="22"/>
    </row>
    <row r="89" spans="1:31" ht="12.75">
      <c r="A89" s="133" t="s">
        <v>112</v>
      </c>
      <c r="B89" s="42" t="s">
        <v>114</v>
      </c>
      <c r="C89" s="60" t="s">
        <v>115</v>
      </c>
      <c r="D89" s="60" t="s">
        <v>115</v>
      </c>
      <c r="E89" s="61">
        <v>0.98</v>
      </c>
      <c r="F89" s="61">
        <v>0.98</v>
      </c>
      <c r="G89" s="61">
        <v>2.24</v>
      </c>
      <c r="H89" s="62">
        <v>2.24</v>
      </c>
      <c r="I89" s="61">
        <v>3.93</v>
      </c>
      <c r="J89" s="62">
        <v>3.93</v>
      </c>
      <c r="K89" s="61">
        <v>18.27</v>
      </c>
      <c r="L89" s="62">
        <v>18.27</v>
      </c>
      <c r="M89" s="61">
        <v>117.63</v>
      </c>
      <c r="N89" s="62">
        <v>117.63</v>
      </c>
      <c r="O89" s="61"/>
      <c r="P89" s="62"/>
      <c r="Q89" s="61"/>
      <c r="R89" s="62"/>
      <c r="S89" s="61">
        <v>0</v>
      </c>
      <c r="T89" s="62">
        <v>0</v>
      </c>
      <c r="U89" s="119"/>
      <c r="V89" s="120"/>
      <c r="W89" s="119"/>
      <c r="X89" s="121"/>
      <c r="Y89" s="37"/>
      <c r="Z89" s="37"/>
      <c r="AA89" s="37"/>
      <c r="AB89" s="37"/>
      <c r="AC89" s="37"/>
      <c r="AD89" s="37"/>
      <c r="AE89" s="22"/>
    </row>
    <row r="90" spans="1:32" ht="15" customHeight="1">
      <c r="A90" s="16"/>
      <c r="B90" s="17" t="s">
        <v>23</v>
      </c>
      <c r="C90" s="77"/>
      <c r="D90" s="77"/>
      <c r="E90" s="122">
        <f>SUM(E88:E89)</f>
        <v>11.34</v>
      </c>
      <c r="F90" s="122">
        <f>SUM(F88:F89)</f>
        <v>11.34</v>
      </c>
      <c r="G90" s="122">
        <f aca="true" t="shared" si="23" ref="G90:T90">SUM(G88:G89)</f>
        <v>7.55</v>
      </c>
      <c r="H90" s="122">
        <f t="shared" si="23"/>
        <v>7.55</v>
      </c>
      <c r="I90" s="122">
        <f t="shared" si="23"/>
        <v>8.43</v>
      </c>
      <c r="J90" s="122">
        <f t="shared" si="23"/>
        <v>8.43</v>
      </c>
      <c r="K90" s="122">
        <f t="shared" si="23"/>
        <v>27.18</v>
      </c>
      <c r="L90" s="122">
        <f t="shared" si="23"/>
        <v>27.18</v>
      </c>
      <c r="M90" s="122">
        <f t="shared" si="23"/>
        <v>215.01</v>
      </c>
      <c r="N90" s="122">
        <f t="shared" si="23"/>
        <v>215.01</v>
      </c>
      <c r="O90" s="122">
        <f t="shared" si="23"/>
        <v>0.07</v>
      </c>
      <c r="P90" s="122">
        <f t="shared" si="23"/>
        <v>0.07</v>
      </c>
      <c r="Q90" s="122">
        <f t="shared" si="23"/>
        <v>0.3</v>
      </c>
      <c r="R90" s="122">
        <f t="shared" si="23"/>
        <v>0.3</v>
      </c>
      <c r="S90" s="122">
        <f t="shared" si="23"/>
        <v>2.46</v>
      </c>
      <c r="T90" s="122">
        <f t="shared" si="23"/>
        <v>2.46</v>
      </c>
      <c r="U90" s="122">
        <f aca="true" t="shared" si="24" ref="U90:AB90">SUM(U88:U89)</f>
        <v>275.74</v>
      </c>
      <c r="V90" s="122">
        <f t="shared" si="24"/>
        <v>275.74</v>
      </c>
      <c r="W90" s="122">
        <f t="shared" si="24"/>
        <v>0.23</v>
      </c>
      <c r="X90" s="122">
        <f t="shared" si="24"/>
        <v>0.23</v>
      </c>
      <c r="Y90" s="122">
        <f t="shared" si="24"/>
        <v>0</v>
      </c>
      <c r="Z90" s="122">
        <f t="shared" si="24"/>
        <v>0</v>
      </c>
      <c r="AA90" s="122">
        <f t="shared" si="24"/>
        <v>0</v>
      </c>
      <c r="AB90" s="122">
        <f t="shared" si="24"/>
        <v>0</v>
      </c>
      <c r="AC90" s="80"/>
      <c r="AD90" s="22"/>
      <c r="AE90" s="22"/>
      <c r="AF90" s="22"/>
    </row>
    <row r="91" spans="1:32" ht="15" customHeight="1">
      <c r="A91" s="16"/>
      <c r="B91" s="95" t="s">
        <v>36</v>
      </c>
      <c r="C91" s="18"/>
      <c r="D91" s="18"/>
      <c r="E91" s="19"/>
      <c r="F91" s="19"/>
      <c r="G91" s="19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9"/>
      <c r="U91" s="29"/>
      <c r="V91" s="29"/>
      <c r="W91" s="29"/>
      <c r="X91" s="84"/>
      <c r="Y91" s="22"/>
      <c r="Z91" s="37"/>
      <c r="AA91" s="37"/>
      <c r="AB91" s="37"/>
      <c r="AC91" s="22"/>
      <c r="AD91" s="22"/>
      <c r="AE91" s="22"/>
      <c r="AF91" s="22"/>
    </row>
    <row r="92" spans="1:29" ht="15.75" customHeight="1">
      <c r="A92" s="130"/>
      <c r="B92" s="17" t="s">
        <v>177</v>
      </c>
      <c r="C92" s="18" t="s">
        <v>139</v>
      </c>
      <c r="D92" s="18" t="s">
        <v>139</v>
      </c>
      <c r="E92" s="19">
        <v>12.9</v>
      </c>
      <c r="F92" s="19">
        <v>12.9</v>
      </c>
      <c r="G92" s="19">
        <v>2.55</v>
      </c>
      <c r="H92" s="20">
        <v>2.55</v>
      </c>
      <c r="I92" s="19">
        <v>0</v>
      </c>
      <c r="J92" s="20">
        <v>0</v>
      </c>
      <c r="K92" s="19">
        <v>38.08</v>
      </c>
      <c r="L92" s="20">
        <v>38.08</v>
      </c>
      <c r="M92" s="19">
        <v>162.52</v>
      </c>
      <c r="N92" s="20">
        <v>162.52</v>
      </c>
      <c r="O92" s="19">
        <v>0.02</v>
      </c>
      <c r="P92" s="20">
        <v>0.02</v>
      </c>
      <c r="Q92" s="19">
        <f>R92*160/150</f>
        <v>0.05333333333333334</v>
      </c>
      <c r="R92" s="20">
        <v>0.05</v>
      </c>
      <c r="S92" s="19">
        <v>17</v>
      </c>
      <c r="T92" s="20">
        <v>17</v>
      </c>
      <c r="U92" s="61">
        <v>20.69</v>
      </c>
      <c r="V92" s="62">
        <v>0</v>
      </c>
      <c r="W92" s="61">
        <v>0.78</v>
      </c>
      <c r="X92" s="62">
        <v>0</v>
      </c>
      <c r="Y92" s="32"/>
      <c r="Z92" s="37"/>
      <c r="AA92" s="37"/>
      <c r="AB92" s="37"/>
      <c r="AC92" s="37"/>
    </row>
    <row r="93" spans="1:29" s="151" customFormat="1" ht="16.5" customHeight="1">
      <c r="A93" s="143" t="s">
        <v>185</v>
      </c>
      <c r="B93" s="59" t="s">
        <v>186</v>
      </c>
      <c r="C93" s="60" t="s">
        <v>29</v>
      </c>
      <c r="D93" s="60" t="s">
        <v>29</v>
      </c>
      <c r="E93" s="61">
        <v>22.84</v>
      </c>
      <c r="F93" s="61">
        <v>22.84</v>
      </c>
      <c r="G93" s="61">
        <v>11.14</v>
      </c>
      <c r="H93" s="62">
        <v>11.14</v>
      </c>
      <c r="I93" s="61">
        <v>7.03</v>
      </c>
      <c r="J93" s="62">
        <v>7.03</v>
      </c>
      <c r="K93" s="61">
        <v>6.56</v>
      </c>
      <c r="L93" s="62">
        <v>6.56</v>
      </c>
      <c r="M93" s="61">
        <v>134.05</v>
      </c>
      <c r="N93" s="62">
        <v>134.05</v>
      </c>
      <c r="O93" s="62">
        <v>0.1</v>
      </c>
      <c r="P93" s="62">
        <v>0.1</v>
      </c>
      <c r="Q93" s="62">
        <v>0.12</v>
      </c>
      <c r="R93" s="62">
        <v>0.12</v>
      </c>
      <c r="S93" s="62">
        <v>1.68</v>
      </c>
      <c r="T93" s="62">
        <v>1.68</v>
      </c>
      <c r="U93" s="62">
        <v>30.69</v>
      </c>
      <c r="V93" s="62">
        <v>30.69</v>
      </c>
      <c r="W93" s="62">
        <v>0.52</v>
      </c>
      <c r="X93" s="89">
        <v>0.52</v>
      </c>
      <c r="Y93" s="149"/>
      <c r="Z93" s="150"/>
      <c r="AA93" s="150"/>
      <c r="AB93" s="150"/>
      <c r="AC93" s="150"/>
    </row>
    <row r="94" spans="1:31" ht="15" customHeight="1">
      <c r="A94" s="129" t="s">
        <v>98</v>
      </c>
      <c r="B94" s="59" t="s">
        <v>99</v>
      </c>
      <c r="C94" s="60" t="s">
        <v>68</v>
      </c>
      <c r="D94" s="60" t="s">
        <v>68</v>
      </c>
      <c r="E94" s="61">
        <v>8.72</v>
      </c>
      <c r="F94" s="61">
        <v>8.72</v>
      </c>
      <c r="G94" s="62">
        <v>2.6</v>
      </c>
      <c r="H94" s="62">
        <v>2.6</v>
      </c>
      <c r="I94" s="62">
        <v>4.16</v>
      </c>
      <c r="J94" s="62">
        <v>4.16</v>
      </c>
      <c r="K94" s="62">
        <v>17.68</v>
      </c>
      <c r="L94" s="62">
        <v>17.68</v>
      </c>
      <c r="M94" s="62">
        <v>121.33</v>
      </c>
      <c r="N94" s="62">
        <v>121.33</v>
      </c>
      <c r="O94" s="63">
        <v>0.16</v>
      </c>
      <c r="P94" s="63">
        <v>0</v>
      </c>
      <c r="Q94" s="63">
        <v>0.1</v>
      </c>
      <c r="R94" s="63">
        <f>Q94/1.5</f>
        <v>0.06666666666666667</v>
      </c>
      <c r="S94" s="62">
        <v>15.69</v>
      </c>
      <c r="T94" s="62">
        <v>15.69</v>
      </c>
      <c r="U94" s="65">
        <v>42.66</v>
      </c>
      <c r="V94" s="65">
        <v>35.44</v>
      </c>
      <c r="W94" s="65">
        <v>0.19</v>
      </c>
      <c r="X94" s="65">
        <f>W94/1.5</f>
        <v>0.12666666666666668</v>
      </c>
      <c r="Y94" s="22"/>
      <c r="Z94" s="22"/>
      <c r="AA94" s="22"/>
      <c r="AB94" s="22"/>
      <c r="AC94" s="22"/>
      <c r="AD94" s="22"/>
      <c r="AE94" s="22"/>
    </row>
    <row r="95" spans="1:31" ht="15" customHeight="1">
      <c r="A95" s="130" t="s">
        <v>105</v>
      </c>
      <c r="B95" s="23" t="s">
        <v>106</v>
      </c>
      <c r="C95" s="18" t="s">
        <v>21</v>
      </c>
      <c r="D95" s="18" t="s">
        <v>22</v>
      </c>
      <c r="E95" s="19">
        <v>0.55</v>
      </c>
      <c r="F95" s="19">
        <v>0.41</v>
      </c>
      <c r="G95" s="19">
        <v>0.18</v>
      </c>
      <c r="H95" s="20">
        <v>0.13</v>
      </c>
      <c r="I95" s="19">
        <f>J95*200/150</f>
        <v>0</v>
      </c>
      <c r="J95" s="20">
        <v>0</v>
      </c>
      <c r="K95" s="19">
        <v>4.78</v>
      </c>
      <c r="L95" s="20">
        <v>3.58</v>
      </c>
      <c r="M95" s="19">
        <v>19.9</v>
      </c>
      <c r="N95" s="20">
        <v>14.92</v>
      </c>
      <c r="O95" s="19">
        <f>P95*200/150</f>
        <v>0.013333333333333334</v>
      </c>
      <c r="P95" s="29">
        <v>0.01</v>
      </c>
      <c r="Q95" s="19">
        <f>R95*200/150</f>
        <v>0.013333333333333334</v>
      </c>
      <c r="R95" s="29">
        <v>0.01</v>
      </c>
      <c r="S95" s="19">
        <v>0.04</v>
      </c>
      <c r="T95" s="29">
        <v>0.03</v>
      </c>
      <c r="U95" s="19">
        <f>V95*200/150</f>
        <v>5.053333333333334</v>
      </c>
      <c r="V95" s="29">
        <v>3.79</v>
      </c>
      <c r="W95" s="19">
        <f>X95*200/150</f>
        <v>0.84</v>
      </c>
      <c r="X95" s="84">
        <v>0.63</v>
      </c>
      <c r="Y95" s="22"/>
      <c r="Z95" s="22"/>
      <c r="AA95" s="22"/>
      <c r="AB95" s="22"/>
      <c r="AC95" s="22"/>
      <c r="AD95" s="22"/>
      <c r="AE95" s="22"/>
    </row>
    <row r="96" spans="1:31" s="68" customFormat="1" ht="15" customHeight="1">
      <c r="A96" s="129"/>
      <c r="B96" s="59" t="s">
        <v>30</v>
      </c>
      <c r="C96" s="60" t="s">
        <v>31</v>
      </c>
      <c r="D96" s="60" t="s">
        <v>31</v>
      </c>
      <c r="E96" s="61">
        <v>1.11</v>
      </c>
      <c r="F96" s="61">
        <v>1.11</v>
      </c>
      <c r="G96" s="61">
        <v>1.6</v>
      </c>
      <c r="H96" s="61">
        <v>1.6</v>
      </c>
      <c r="I96" s="61">
        <v>0.4</v>
      </c>
      <c r="J96" s="61">
        <v>0.4</v>
      </c>
      <c r="K96" s="61">
        <v>10</v>
      </c>
      <c r="L96" s="61">
        <v>10</v>
      </c>
      <c r="M96" s="62">
        <v>54</v>
      </c>
      <c r="N96" s="62">
        <v>54</v>
      </c>
      <c r="O96" s="65">
        <v>0.04</v>
      </c>
      <c r="P96" s="66">
        <v>0.04</v>
      </c>
      <c r="Q96" s="65">
        <v>0.02</v>
      </c>
      <c r="R96" s="66">
        <v>0.02</v>
      </c>
      <c r="S96" s="65">
        <v>0</v>
      </c>
      <c r="T96" s="66">
        <v>0</v>
      </c>
      <c r="U96" s="65">
        <v>7.4</v>
      </c>
      <c r="V96" s="66">
        <v>7.4</v>
      </c>
      <c r="W96" s="65">
        <v>0.56</v>
      </c>
      <c r="X96" s="66">
        <v>0.56</v>
      </c>
      <c r="Y96" s="67"/>
      <c r="Z96" s="67"/>
      <c r="AA96" s="67"/>
      <c r="AB96" s="67"/>
      <c r="AC96" s="67"/>
      <c r="AD96" s="67"/>
      <c r="AE96" s="67"/>
    </row>
    <row r="97" spans="1:32" ht="15" customHeight="1">
      <c r="A97" s="16"/>
      <c r="B97" s="17" t="s">
        <v>23</v>
      </c>
      <c r="C97" s="18"/>
      <c r="D97" s="18"/>
      <c r="E97" s="28">
        <f>SUM(E92:E96)</f>
        <v>46.12</v>
      </c>
      <c r="F97" s="28">
        <f>SUM(F92:F96)</f>
        <v>45.98</v>
      </c>
      <c r="G97" s="28">
        <f aca="true" t="shared" si="25" ref="G97:T97">SUM(G92:G96)</f>
        <v>18.070000000000004</v>
      </c>
      <c r="H97" s="28">
        <f t="shared" si="25"/>
        <v>18.020000000000003</v>
      </c>
      <c r="I97" s="28">
        <f t="shared" si="25"/>
        <v>11.590000000000002</v>
      </c>
      <c r="J97" s="28">
        <f t="shared" si="25"/>
        <v>11.590000000000002</v>
      </c>
      <c r="K97" s="28">
        <f t="shared" si="25"/>
        <v>77.1</v>
      </c>
      <c r="L97" s="28">
        <f t="shared" si="25"/>
        <v>75.9</v>
      </c>
      <c r="M97" s="28">
        <f t="shared" si="25"/>
        <v>491.8</v>
      </c>
      <c r="N97" s="28">
        <f t="shared" si="25"/>
        <v>486.82000000000005</v>
      </c>
      <c r="O97" s="28">
        <f t="shared" si="25"/>
        <v>0.3333333333333333</v>
      </c>
      <c r="P97" s="28">
        <f t="shared" si="25"/>
        <v>0.17</v>
      </c>
      <c r="Q97" s="28">
        <f t="shared" si="25"/>
        <v>0.30666666666666664</v>
      </c>
      <c r="R97" s="28">
        <f t="shared" si="25"/>
        <v>0.26666666666666666</v>
      </c>
      <c r="S97" s="28">
        <f t="shared" si="25"/>
        <v>34.41</v>
      </c>
      <c r="T97" s="28">
        <f t="shared" si="25"/>
        <v>34.4</v>
      </c>
      <c r="U97" s="28">
        <f aca="true" t="shared" si="26" ref="U97:AB97">SUM(U92:U96)</f>
        <v>106.49333333333333</v>
      </c>
      <c r="V97" s="28">
        <f t="shared" si="26"/>
        <v>77.32000000000001</v>
      </c>
      <c r="W97" s="28">
        <f t="shared" si="26"/>
        <v>2.89</v>
      </c>
      <c r="X97" s="28">
        <f t="shared" si="26"/>
        <v>1.836666666666667</v>
      </c>
      <c r="Y97" s="28">
        <f t="shared" si="26"/>
        <v>0</v>
      </c>
      <c r="Z97" s="28">
        <f t="shared" si="26"/>
        <v>0</v>
      </c>
      <c r="AA97" s="28">
        <f t="shared" si="26"/>
        <v>0</v>
      </c>
      <c r="AB97" s="28">
        <f t="shared" si="26"/>
        <v>0</v>
      </c>
      <c r="AC97" s="80"/>
      <c r="AD97" s="22"/>
      <c r="AE97" s="22"/>
      <c r="AF97" s="22"/>
    </row>
    <row r="98" spans="1:32" ht="15" customHeight="1">
      <c r="A98" s="16"/>
      <c r="B98" s="17" t="s">
        <v>37</v>
      </c>
      <c r="C98" s="18"/>
      <c r="D98" s="19"/>
      <c r="E98" s="28">
        <f>E97+E90+E86+E77+E74</f>
        <v>127.15</v>
      </c>
      <c r="F98" s="28">
        <f>F97+F90+F86+F77+F74</f>
        <v>119.94000000000001</v>
      </c>
      <c r="G98" s="28">
        <f aca="true" t="shared" si="27" ref="G98:T98">G97+G90+G86+G77+G74</f>
        <v>58.63000000000001</v>
      </c>
      <c r="H98" s="28">
        <f t="shared" si="27"/>
        <v>52.91000000000001</v>
      </c>
      <c r="I98" s="28">
        <f t="shared" si="27"/>
        <v>51.75</v>
      </c>
      <c r="J98" s="28">
        <f t="shared" si="27"/>
        <v>46.426</v>
      </c>
      <c r="K98" s="28">
        <f t="shared" si="27"/>
        <v>272.21000000000004</v>
      </c>
      <c r="L98" s="28">
        <f t="shared" si="27"/>
        <v>234.015</v>
      </c>
      <c r="M98" s="28">
        <f t="shared" si="27"/>
        <v>1771.57</v>
      </c>
      <c r="N98" s="28">
        <f t="shared" si="27"/>
        <v>1554.6200000000001</v>
      </c>
      <c r="O98" s="28">
        <f t="shared" si="27"/>
        <v>1.0396666666666667</v>
      </c>
      <c r="P98" s="28">
        <f t="shared" si="27"/>
        <v>0.76</v>
      </c>
      <c r="Q98" s="28">
        <f t="shared" si="27"/>
        <v>1.6133333333333333</v>
      </c>
      <c r="R98" s="28">
        <f t="shared" si="27"/>
        <v>1.4116666666666666</v>
      </c>
      <c r="S98" s="28">
        <f t="shared" si="27"/>
        <v>56.64999999999999</v>
      </c>
      <c r="T98" s="28">
        <f t="shared" si="27"/>
        <v>53.41</v>
      </c>
      <c r="U98" s="28">
        <f>U97+U90+U86+U77+U74</f>
        <v>1031.622</v>
      </c>
      <c r="V98" s="28">
        <f>V97+V90+V86+V77+V74</f>
        <v>904.6441666666667</v>
      </c>
      <c r="W98" s="28">
        <f>W97+W90+W86+W77+W74</f>
        <v>11.572000000000001</v>
      </c>
      <c r="X98" s="83">
        <f>X97+X90+X86+X77+X74</f>
        <v>8.997499999999999</v>
      </c>
      <c r="Y98" s="80"/>
      <c r="Z98" s="80"/>
      <c r="AA98" s="80"/>
      <c r="AB98" s="80"/>
      <c r="AC98" s="80"/>
      <c r="AD98" s="80"/>
      <c r="AE98" s="80"/>
      <c r="AF98" s="22"/>
    </row>
    <row r="99" spans="1:32" ht="15" customHeight="1">
      <c r="A99" s="16"/>
      <c r="B99" s="93" t="s">
        <v>198</v>
      </c>
      <c r="C99" s="18"/>
      <c r="D99" s="18"/>
      <c r="E99" s="19"/>
      <c r="F99" s="19"/>
      <c r="G99" s="19"/>
      <c r="H99" s="20"/>
      <c r="I99" s="20"/>
      <c r="J99" s="20"/>
      <c r="K99" s="20"/>
      <c r="L99" s="20"/>
      <c r="M99" s="20"/>
      <c r="N99" s="20"/>
      <c r="O99" s="29"/>
      <c r="P99" s="29"/>
      <c r="Q99" s="29"/>
      <c r="R99" s="29"/>
      <c r="S99" s="29"/>
      <c r="T99" s="29"/>
      <c r="U99" s="29"/>
      <c r="V99" s="29"/>
      <c r="W99" s="29"/>
      <c r="X99" s="84"/>
      <c r="Y99" s="22"/>
      <c r="Z99" s="37"/>
      <c r="AA99" s="37"/>
      <c r="AB99" s="37"/>
      <c r="AC99" s="22"/>
      <c r="AD99" s="22"/>
      <c r="AE99" s="22"/>
      <c r="AF99" s="22"/>
    </row>
    <row r="100" spans="1:32" ht="15" customHeight="1">
      <c r="A100" s="16"/>
      <c r="B100" s="95" t="s">
        <v>17</v>
      </c>
      <c r="C100" s="18"/>
      <c r="D100" s="18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9"/>
      <c r="P100" s="29"/>
      <c r="Q100" s="29"/>
      <c r="R100" s="29"/>
      <c r="S100" s="29"/>
      <c r="T100" s="29"/>
      <c r="U100" s="29"/>
      <c r="V100" s="29"/>
      <c r="W100" s="29"/>
      <c r="X100" s="84"/>
      <c r="Y100" s="22"/>
      <c r="Z100" s="37"/>
      <c r="AA100" s="37"/>
      <c r="AB100" s="37"/>
      <c r="AC100" s="22"/>
      <c r="AD100" s="22"/>
      <c r="AE100" s="22"/>
      <c r="AF100" s="22"/>
    </row>
    <row r="101" spans="1:30" s="32" customFormat="1" ht="14.25" customHeight="1">
      <c r="A101" s="129" t="s">
        <v>76</v>
      </c>
      <c r="B101" s="59" t="s">
        <v>158</v>
      </c>
      <c r="C101" s="60" t="s">
        <v>159</v>
      </c>
      <c r="D101" s="60" t="s">
        <v>204</v>
      </c>
      <c r="E101" s="61">
        <v>6.68</v>
      </c>
      <c r="F101" s="61"/>
      <c r="G101" s="61">
        <v>2.93</v>
      </c>
      <c r="H101" s="62">
        <v>0</v>
      </c>
      <c r="I101" s="61">
        <v>6.05</v>
      </c>
      <c r="J101" s="62">
        <v>0</v>
      </c>
      <c r="K101" s="61">
        <v>10.4</v>
      </c>
      <c r="L101" s="62">
        <v>0</v>
      </c>
      <c r="M101" s="61">
        <v>107.77</v>
      </c>
      <c r="N101" s="62">
        <v>0</v>
      </c>
      <c r="O101" s="62">
        <v>0.08</v>
      </c>
      <c r="P101" s="62">
        <f>O101*40/60</f>
        <v>0.05333333333333334</v>
      </c>
      <c r="Q101" s="62">
        <v>0.06</v>
      </c>
      <c r="R101" s="62">
        <f>Q101*40/60</f>
        <v>0.04</v>
      </c>
      <c r="S101" s="61">
        <v>0.14</v>
      </c>
      <c r="T101" s="62">
        <v>0</v>
      </c>
      <c r="U101" s="62">
        <v>70.8</v>
      </c>
      <c r="V101" s="62">
        <f>U101*40/60</f>
        <v>47.2</v>
      </c>
      <c r="W101" s="62">
        <v>0.81</v>
      </c>
      <c r="X101" s="89">
        <f>W101*40/60</f>
        <v>0.5400000000000001</v>
      </c>
      <c r="Y101" s="87"/>
      <c r="Z101" s="37"/>
      <c r="AA101" s="37"/>
      <c r="AB101" s="37"/>
      <c r="AC101" s="37"/>
      <c r="AD101" s="37"/>
    </row>
    <row r="102" spans="1:30" s="32" customFormat="1" ht="14.25" customHeight="1">
      <c r="A102" s="129" t="s">
        <v>76</v>
      </c>
      <c r="B102" s="59" t="s">
        <v>151</v>
      </c>
      <c r="C102" s="60" t="s">
        <v>204</v>
      </c>
      <c r="D102" s="60" t="s">
        <v>101</v>
      </c>
      <c r="E102" s="61"/>
      <c r="F102" s="61">
        <v>4.15</v>
      </c>
      <c r="G102" s="61">
        <v>0</v>
      </c>
      <c r="H102" s="62">
        <v>2.9</v>
      </c>
      <c r="I102" s="61">
        <v>0</v>
      </c>
      <c r="J102" s="62">
        <v>1.95</v>
      </c>
      <c r="K102" s="61">
        <v>0</v>
      </c>
      <c r="L102" s="62">
        <v>10.4</v>
      </c>
      <c r="M102" s="61">
        <v>0</v>
      </c>
      <c r="N102" s="62">
        <v>70.75</v>
      </c>
      <c r="O102" s="155">
        <v>0.08</v>
      </c>
      <c r="P102" s="155">
        <f>O102*40/60</f>
        <v>0.05333333333333334</v>
      </c>
      <c r="Q102" s="155">
        <v>0.06</v>
      </c>
      <c r="R102" s="155">
        <f>Q102*40/60</f>
        <v>0.04</v>
      </c>
      <c r="S102" s="61">
        <v>0</v>
      </c>
      <c r="T102" s="62">
        <v>0.14</v>
      </c>
      <c r="U102" s="62">
        <v>70.8</v>
      </c>
      <c r="V102" s="62">
        <f>U102*40/60</f>
        <v>47.2</v>
      </c>
      <c r="W102" s="62">
        <v>0.81</v>
      </c>
      <c r="X102" s="89">
        <f>W102*40/60</f>
        <v>0.5400000000000001</v>
      </c>
      <c r="Y102" s="87"/>
      <c r="Z102" s="37"/>
      <c r="AA102" s="37"/>
      <c r="AB102" s="37"/>
      <c r="AC102" s="37"/>
      <c r="AD102" s="37"/>
    </row>
    <row r="103" spans="1:24" ht="27.75" customHeight="1">
      <c r="A103" s="136" t="s">
        <v>162</v>
      </c>
      <c r="B103" s="59" t="s">
        <v>163</v>
      </c>
      <c r="C103" s="60" t="s">
        <v>107</v>
      </c>
      <c r="D103" s="60" t="s">
        <v>108</v>
      </c>
      <c r="E103" s="61">
        <v>12.64</v>
      </c>
      <c r="F103" s="61">
        <v>9.86</v>
      </c>
      <c r="G103" s="61">
        <v>6.82</v>
      </c>
      <c r="H103" s="61">
        <v>4.37</v>
      </c>
      <c r="I103" s="61">
        <v>7.99</v>
      </c>
      <c r="J103" s="61">
        <f>I103*150/200</f>
        <v>5.9925</v>
      </c>
      <c r="K103" s="61">
        <v>30.16</v>
      </c>
      <c r="L103" s="61">
        <v>24.87</v>
      </c>
      <c r="M103" s="61">
        <v>261.83</v>
      </c>
      <c r="N103" s="61">
        <f>M103*150/200</f>
        <v>196.3725</v>
      </c>
      <c r="O103" s="65">
        <v>0.17</v>
      </c>
      <c r="P103" s="61">
        <f>O103*150/200</f>
        <v>0.12750000000000003</v>
      </c>
      <c r="Q103" s="65">
        <v>0.26</v>
      </c>
      <c r="R103" s="61">
        <f>Q103*150/200</f>
        <v>0.195</v>
      </c>
      <c r="S103" s="65">
        <v>1.68</v>
      </c>
      <c r="T103" s="61">
        <f>S103*150/200</f>
        <v>1.26</v>
      </c>
      <c r="U103" s="65">
        <v>180.02</v>
      </c>
      <c r="V103" s="61">
        <v>170.02</v>
      </c>
      <c r="W103" s="65">
        <v>0.75</v>
      </c>
      <c r="X103" s="61">
        <f>W103*150/200</f>
        <v>0.5625</v>
      </c>
    </row>
    <row r="104" spans="1:31" ht="15.75" customHeight="1">
      <c r="A104" s="129" t="s">
        <v>50</v>
      </c>
      <c r="B104" s="59" t="s">
        <v>40</v>
      </c>
      <c r="C104" s="60" t="s">
        <v>26</v>
      </c>
      <c r="D104" s="60" t="s">
        <v>22</v>
      </c>
      <c r="E104" s="61">
        <v>6.01</v>
      </c>
      <c r="F104" s="61">
        <v>4.84</v>
      </c>
      <c r="G104" s="61">
        <v>2.85</v>
      </c>
      <c r="H104" s="62">
        <v>2.34</v>
      </c>
      <c r="I104" s="61">
        <v>2.41</v>
      </c>
      <c r="J104" s="62">
        <v>2</v>
      </c>
      <c r="K104" s="61">
        <v>14.36</v>
      </c>
      <c r="L104" s="62">
        <v>10.63</v>
      </c>
      <c r="M104" s="61">
        <v>91</v>
      </c>
      <c r="N104" s="62">
        <v>70</v>
      </c>
      <c r="O104" s="61">
        <f>P104*180/150</f>
        <v>0.012</v>
      </c>
      <c r="P104" s="69">
        <v>0.01</v>
      </c>
      <c r="Q104" s="61">
        <f>R104*180/150</f>
        <v>0.084</v>
      </c>
      <c r="R104" s="69">
        <v>0.07</v>
      </c>
      <c r="S104" s="61">
        <v>1.17</v>
      </c>
      <c r="T104" s="62">
        <f>S104*150/180</f>
        <v>0.975</v>
      </c>
      <c r="U104" s="61">
        <f>V104*180/150</f>
        <v>57.516</v>
      </c>
      <c r="V104" s="69">
        <v>47.93</v>
      </c>
      <c r="W104" s="61">
        <f>X104*180/150</f>
        <v>0.264</v>
      </c>
      <c r="X104" s="69">
        <v>0.22</v>
      </c>
      <c r="Y104" s="22"/>
      <c r="Z104" s="22"/>
      <c r="AA104" s="22"/>
      <c r="AB104" s="22"/>
      <c r="AC104" s="22"/>
      <c r="AD104" s="22"/>
      <c r="AE104" s="22"/>
    </row>
    <row r="105" spans="1:32" ht="15" customHeight="1">
      <c r="A105" s="16"/>
      <c r="B105" s="17" t="s">
        <v>23</v>
      </c>
      <c r="C105" s="18"/>
      <c r="D105" s="18"/>
      <c r="E105" s="28">
        <f>SUM(E101:E104)</f>
        <v>25.33</v>
      </c>
      <c r="F105" s="28">
        <f>SUM(F101:F104)</f>
        <v>18.85</v>
      </c>
      <c r="G105" s="28">
        <f aca="true" t="shared" si="28" ref="G105:T105">SUM(G101:G104)</f>
        <v>12.6</v>
      </c>
      <c r="H105" s="28">
        <f t="shared" si="28"/>
        <v>9.61</v>
      </c>
      <c r="I105" s="28">
        <f t="shared" si="28"/>
        <v>16.45</v>
      </c>
      <c r="J105" s="28">
        <f t="shared" si="28"/>
        <v>9.942499999999999</v>
      </c>
      <c r="K105" s="28">
        <f t="shared" si="28"/>
        <v>54.92</v>
      </c>
      <c r="L105" s="28">
        <f t="shared" si="28"/>
        <v>45.900000000000006</v>
      </c>
      <c r="M105" s="28">
        <f t="shared" si="28"/>
        <v>460.59999999999997</v>
      </c>
      <c r="N105" s="28">
        <f t="shared" si="28"/>
        <v>337.1225</v>
      </c>
      <c r="O105" s="28">
        <f t="shared" si="28"/>
        <v>0.342</v>
      </c>
      <c r="P105" s="28">
        <f t="shared" si="28"/>
        <v>0.2441666666666667</v>
      </c>
      <c r="Q105" s="28">
        <f t="shared" si="28"/>
        <v>0.464</v>
      </c>
      <c r="R105" s="28">
        <f t="shared" si="28"/>
        <v>0.34500000000000003</v>
      </c>
      <c r="S105" s="28">
        <f t="shared" si="28"/>
        <v>2.9899999999999998</v>
      </c>
      <c r="T105" s="28">
        <f t="shared" si="28"/>
        <v>2.375</v>
      </c>
      <c r="U105" s="28">
        <f>SUM(U101:U104)</f>
        <v>379.136</v>
      </c>
      <c r="V105" s="28">
        <f>SUM(V101:V104)</f>
        <v>312.35</v>
      </c>
      <c r="W105" s="28">
        <f>SUM(W101:W104)</f>
        <v>2.6340000000000003</v>
      </c>
      <c r="X105" s="83">
        <f>SUM(X101:X104)</f>
        <v>1.8625000000000003</v>
      </c>
      <c r="Y105" s="80"/>
      <c r="Z105" s="80"/>
      <c r="AA105" s="80"/>
      <c r="AB105" s="80"/>
      <c r="AC105" s="80"/>
      <c r="AD105" s="22"/>
      <c r="AE105" s="22"/>
      <c r="AF105" s="22"/>
    </row>
    <row r="106" spans="1:32" ht="15" customHeight="1">
      <c r="A106" s="16"/>
      <c r="B106" s="95" t="s">
        <v>41</v>
      </c>
      <c r="C106" s="18"/>
      <c r="D106" s="18"/>
      <c r="E106" s="33"/>
      <c r="F106" s="33"/>
      <c r="G106" s="19"/>
      <c r="H106" s="20"/>
      <c r="I106" s="20"/>
      <c r="J106" s="20"/>
      <c r="K106" s="20"/>
      <c r="L106" s="20"/>
      <c r="M106" s="20"/>
      <c r="N106" s="20"/>
      <c r="O106" s="29"/>
      <c r="P106" s="29"/>
      <c r="Q106" s="29"/>
      <c r="R106" s="29"/>
      <c r="S106" s="29"/>
      <c r="T106" s="29"/>
      <c r="U106" s="29"/>
      <c r="V106" s="29"/>
      <c r="W106" s="29"/>
      <c r="X106" s="84"/>
      <c r="Y106" s="22"/>
      <c r="Z106" s="37"/>
      <c r="AA106" s="37"/>
      <c r="AB106" s="37"/>
      <c r="AC106" s="22"/>
      <c r="AD106" s="22"/>
      <c r="AE106" s="22"/>
      <c r="AF106" s="22"/>
    </row>
    <row r="107" spans="1:31" s="32" customFormat="1" ht="15" customHeight="1">
      <c r="A107" s="130" t="s">
        <v>25</v>
      </c>
      <c r="B107" s="17" t="s">
        <v>70</v>
      </c>
      <c r="C107" s="18" t="s">
        <v>146</v>
      </c>
      <c r="D107" s="18" t="s">
        <v>146</v>
      </c>
      <c r="E107" s="19">
        <v>4.52</v>
      </c>
      <c r="F107" s="19">
        <v>4.52</v>
      </c>
      <c r="G107" s="25">
        <v>0</v>
      </c>
      <c r="H107" s="26">
        <v>0</v>
      </c>
      <c r="I107" s="25">
        <f>J107*180/150</f>
        <v>0</v>
      </c>
      <c r="J107" s="26">
        <v>0</v>
      </c>
      <c r="K107" s="25">
        <v>10.2</v>
      </c>
      <c r="L107" s="26">
        <v>10.2</v>
      </c>
      <c r="M107" s="25">
        <v>40.8</v>
      </c>
      <c r="N107" s="26">
        <v>38.4</v>
      </c>
      <c r="O107" s="25">
        <f>P107*180/150</f>
        <v>0</v>
      </c>
      <c r="P107" s="26">
        <v>0</v>
      </c>
      <c r="Q107" s="25">
        <f>R107*180/150</f>
        <v>0.024</v>
      </c>
      <c r="R107" s="26">
        <v>0.02</v>
      </c>
      <c r="S107" s="25">
        <v>3.4</v>
      </c>
      <c r="T107" s="26">
        <v>3.4</v>
      </c>
      <c r="U107" s="25">
        <f>V107*180/150</f>
        <v>9.996</v>
      </c>
      <c r="V107" s="26">
        <v>8.33</v>
      </c>
      <c r="W107" s="25">
        <f>X107*180/150</f>
        <v>0.252</v>
      </c>
      <c r="X107" s="86">
        <v>0.21</v>
      </c>
      <c r="Y107" s="37"/>
      <c r="Z107" s="37"/>
      <c r="AA107" s="37"/>
      <c r="AB107" s="37"/>
      <c r="AC107" s="37"/>
      <c r="AD107" s="37"/>
      <c r="AE107" s="37"/>
    </row>
    <row r="108" spans="1:32" ht="15" customHeight="1">
      <c r="A108" s="16"/>
      <c r="B108" s="17" t="s">
        <v>23</v>
      </c>
      <c r="C108" s="18"/>
      <c r="D108" s="127"/>
      <c r="E108" s="128">
        <f>SUM(E107)</f>
        <v>4.52</v>
      </c>
      <c r="F108" s="128">
        <f>SUM(F107)</f>
        <v>4.52</v>
      </c>
      <c r="G108" s="128">
        <f aca="true" t="shared" si="29" ref="G108:T108">SUM(G107)</f>
        <v>0</v>
      </c>
      <c r="H108" s="128">
        <f t="shared" si="29"/>
        <v>0</v>
      </c>
      <c r="I108" s="128">
        <f t="shared" si="29"/>
        <v>0</v>
      </c>
      <c r="J108" s="128">
        <f t="shared" si="29"/>
        <v>0</v>
      </c>
      <c r="K108" s="128">
        <f t="shared" si="29"/>
        <v>10.2</v>
      </c>
      <c r="L108" s="128">
        <f t="shared" si="29"/>
        <v>10.2</v>
      </c>
      <c r="M108" s="128">
        <f t="shared" si="29"/>
        <v>40.8</v>
      </c>
      <c r="N108" s="128">
        <f t="shared" si="29"/>
        <v>38.4</v>
      </c>
      <c r="O108" s="128">
        <f t="shared" si="29"/>
        <v>0</v>
      </c>
      <c r="P108" s="128">
        <f t="shared" si="29"/>
        <v>0</v>
      </c>
      <c r="Q108" s="128">
        <f t="shared" si="29"/>
        <v>0.024</v>
      </c>
      <c r="R108" s="128">
        <f t="shared" si="29"/>
        <v>0.02</v>
      </c>
      <c r="S108" s="128">
        <f t="shared" si="29"/>
        <v>3.4</v>
      </c>
      <c r="T108" s="128">
        <f t="shared" si="29"/>
        <v>3.4</v>
      </c>
      <c r="U108" s="28">
        <f>SUM(U107)</f>
        <v>9.996</v>
      </c>
      <c r="V108" s="28">
        <f>SUM(V107)</f>
        <v>8.33</v>
      </c>
      <c r="W108" s="28">
        <f>SUM(W107)</f>
        <v>0.252</v>
      </c>
      <c r="X108" s="83">
        <f>SUM(X107)</f>
        <v>0.21</v>
      </c>
      <c r="Y108" s="80"/>
      <c r="Z108" s="80"/>
      <c r="AA108" s="80"/>
      <c r="AB108" s="80"/>
      <c r="AC108" s="80"/>
      <c r="AD108" s="22"/>
      <c r="AE108" s="22"/>
      <c r="AF108" s="22"/>
    </row>
    <row r="109" spans="1:32" ht="15" customHeight="1">
      <c r="A109" s="16"/>
      <c r="B109" s="95" t="s">
        <v>27</v>
      </c>
      <c r="C109" s="18"/>
      <c r="D109" s="18"/>
      <c r="E109" s="34"/>
      <c r="F109" s="34"/>
      <c r="G109" s="19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9"/>
      <c r="U109" s="29"/>
      <c r="V109" s="29"/>
      <c r="W109" s="29"/>
      <c r="X109" s="84"/>
      <c r="Y109" s="22"/>
      <c r="Z109" s="37"/>
      <c r="AA109" s="37"/>
      <c r="AB109" s="37"/>
      <c r="AC109" s="22"/>
      <c r="AD109" s="22"/>
      <c r="AE109" s="22"/>
      <c r="AF109" s="22"/>
    </row>
    <row r="110" spans="1:28" ht="15.75" customHeight="1">
      <c r="A110" s="129" t="s">
        <v>180</v>
      </c>
      <c r="B110" s="59" t="s">
        <v>192</v>
      </c>
      <c r="C110" s="60" t="s">
        <v>161</v>
      </c>
      <c r="D110" s="60" t="s">
        <v>161</v>
      </c>
      <c r="E110" s="61">
        <v>3.84</v>
      </c>
      <c r="F110" s="61">
        <v>3.84</v>
      </c>
      <c r="G110" s="61">
        <v>0.75</v>
      </c>
      <c r="H110" s="62">
        <v>0.75</v>
      </c>
      <c r="I110" s="62">
        <v>2</v>
      </c>
      <c r="J110" s="62">
        <v>2</v>
      </c>
      <c r="K110" s="62">
        <v>4</v>
      </c>
      <c r="L110" s="62">
        <v>4</v>
      </c>
      <c r="M110" s="62">
        <v>37</v>
      </c>
      <c r="N110" s="62">
        <v>37</v>
      </c>
      <c r="O110" s="63">
        <v>0.04</v>
      </c>
      <c r="P110" s="69">
        <v>0.03</v>
      </c>
      <c r="Q110" s="63">
        <v>0.02</v>
      </c>
      <c r="R110" s="69">
        <v>0.02</v>
      </c>
      <c r="S110" s="63">
        <v>4.9</v>
      </c>
      <c r="T110" s="62">
        <v>4.9</v>
      </c>
      <c r="U110" s="62">
        <v>6.13</v>
      </c>
      <c r="V110" s="62">
        <f>U110*45/60</f>
        <v>4.5975</v>
      </c>
      <c r="W110" s="62">
        <v>1.04</v>
      </c>
      <c r="X110" s="62">
        <f>W110*45/60</f>
        <v>0.78</v>
      </c>
      <c r="Z110" s="37"/>
      <c r="AA110" s="37"/>
      <c r="AB110" s="37"/>
    </row>
    <row r="111" spans="1:31" ht="24.75" customHeight="1">
      <c r="A111" s="130" t="s">
        <v>187</v>
      </c>
      <c r="B111" s="23" t="s">
        <v>188</v>
      </c>
      <c r="C111" s="18" t="s">
        <v>87</v>
      </c>
      <c r="D111" s="18" t="s">
        <v>88</v>
      </c>
      <c r="E111" s="19">
        <v>14.52</v>
      </c>
      <c r="F111" s="19">
        <v>13.17</v>
      </c>
      <c r="G111" s="25">
        <v>6.34</v>
      </c>
      <c r="H111" s="25">
        <v>5.78</v>
      </c>
      <c r="I111" s="25">
        <v>7.75</v>
      </c>
      <c r="J111" s="25">
        <v>7.15</v>
      </c>
      <c r="K111" s="25">
        <v>16.4</v>
      </c>
      <c r="L111" s="25">
        <v>12.3</v>
      </c>
      <c r="M111" s="25">
        <v>161</v>
      </c>
      <c r="N111" s="25">
        <v>137</v>
      </c>
      <c r="O111" s="25">
        <v>0.14</v>
      </c>
      <c r="P111" s="26">
        <v>0.16</v>
      </c>
      <c r="Q111" s="25">
        <v>0.05</v>
      </c>
      <c r="R111" s="26">
        <v>0.11</v>
      </c>
      <c r="S111" s="25">
        <v>8.1</v>
      </c>
      <c r="T111" s="26">
        <f>S111*175/225</f>
        <v>6.3</v>
      </c>
      <c r="U111" s="25">
        <v>17.7</v>
      </c>
      <c r="V111" s="26">
        <v>18.09</v>
      </c>
      <c r="W111" s="25">
        <v>1.11</v>
      </c>
      <c r="X111" s="152">
        <v>1.07</v>
      </c>
      <c r="Y111" s="88"/>
      <c r="Z111" s="22"/>
      <c r="AA111" s="22"/>
      <c r="AB111" s="22"/>
      <c r="AC111" s="22"/>
      <c r="AD111" s="22"/>
      <c r="AE111" s="22"/>
    </row>
    <row r="112" spans="1:30" ht="17.25" customHeight="1">
      <c r="A112" s="135" t="s">
        <v>164</v>
      </c>
      <c r="B112" s="23" t="s">
        <v>165</v>
      </c>
      <c r="C112" s="18" t="s">
        <v>29</v>
      </c>
      <c r="D112" s="18" t="s">
        <v>29</v>
      </c>
      <c r="E112" s="19">
        <v>16.31</v>
      </c>
      <c r="F112" s="19">
        <v>16.31</v>
      </c>
      <c r="G112" s="19">
        <v>9</v>
      </c>
      <c r="H112" s="20">
        <v>9</v>
      </c>
      <c r="I112" s="19">
        <v>10</v>
      </c>
      <c r="J112" s="19">
        <v>10</v>
      </c>
      <c r="K112" s="20">
        <v>3</v>
      </c>
      <c r="L112" s="20">
        <v>3</v>
      </c>
      <c r="M112" s="20">
        <v>139</v>
      </c>
      <c r="N112" s="20">
        <v>139</v>
      </c>
      <c r="O112" s="20">
        <v>0.07</v>
      </c>
      <c r="P112" s="20">
        <v>0.07</v>
      </c>
      <c r="Q112" s="20">
        <v>0.09</v>
      </c>
      <c r="R112" s="20">
        <v>0.09</v>
      </c>
      <c r="S112" s="20">
        <v>0.34</v>
      </c>
      <c r="T112" s="20">
        <v>0.34</v>
      </c>
      <c r="U112" s="20">
        <v>12.73</v>
      </c>
      <c r="V112" s="20">
        <v>12.73</v>
      </c>
      <c r="W112" s="20">
        <v>0.74</v>
      </c>
      <c r="X112" s="39">
        <v>0.74</v>
      </c>
      <c r="Y112" s="88"/>
      <c r="Z112" s="22"/>
      <c r="AA112" s="22"/>
      <c r="AB112" s="22"/>
      <c r="AC112" s="22"/>
      <c r="AD112" s="22"/>
    </row>
    <row r="113" spans="1:29" ht="15.75" customHeight="1">
      <c r="A113" s="129" t="s">
        <v>117</v>
      </c>
      <c r="B113" s="59" t="s">
        <v>109</v>
      </c>
      <c r="C113" s="60" t="s">
        <v>22</v>
      </c>
      <c r="D113" s="60" t="s">
        <v>68</v>
      </c>
      <c r="E113" s="61">
        <v>6.58</v>
      </c>
      <c r="F113" s="61">
        <v>5.7</v>
      </c>
      <c r="G113" s="62">
        <v>3.75</v>
      </c>
      <c r="H113" s="62">
        <f>G113*130/150</f>
        <v>3.25</v>
      </c>
      <c r="I113" s="62">
        <v>6.92</v>
      </c>
      <c r="J113" s="62">
        <f>I113*130/150</f>
        <v>5.997333333333334</v>
      </c>
      <c r="K113" s="62">
        <v>16.15</v>
      </c>
      <c r="L113" s="62">
        <f>K113*130/150</f>
        <v>13.996666666666666</v>
      </c>
      <c r="M113" s="62">
        <v>141.3</v>
      </c>
      <c r="N113" s="62">
        <f>M113*130/150</f>
        <v>122.46</v>
      </c>
      <c r="O113" s="63"/>
      <c r="P113" s="62"/>
      <c r="Q113" s="63"/>
      <c r="R113" s="62"/>
      <c r="S113" s="62">
        <v>24.55</v>
      </c>
      <c r="T113" s="62">
        <f>S113*130/150</f>
        <v>21.276666666666667</v>
      </c>
      <c r="U113" s="63">
        <v>21.3</v>
      </c>
      <c r="V113" s="62">
        <f>U113*50/75</f>
        <v>14.2</v>
      </c>
      <c r="W113" s="63">
        <v>0.09</v>
      </c>
      <c r="X113" s="62">
        <f>W113*50/75</f>
        <v>0.06</v>
      </c>
      <c r="Z113" s="22"/>
      <c r="AA113" s="22"/>
      <c r="AB113" s="22"/>
      <c r="AC113" s="22"/>
    </row>
    <row r="114" spans="1:31" ht="15.75" customHeight="1">
      <c r="A114" s="130" t="s">
        <v>125</v>
      </c>
      <c r="B114" s="17" t="s">
        <v>156</v>
      </c>
      <c r="C114" s="18" t="s">
        <v>21</v>
      </c>
      <c r="D114" s="18" t="s">
        <v>22</v>
      </c>
      <c r="E114" s="19">
        <v>3.2</v>
      </c>
      <c r="F114" s="19">
        <v>2.4</v>
      </c>
      <c r="G114" s="25">
        <v>0.4</v>
      </c>
      <c r="H114" s="26">
        <v>0.3</v>
      </c>
      <c r="I114" s="25">
        <f>J114*200/150</f>
        <v>0</v>
      </c>
      <c r="J114" s="26">
        <v>0</v>
      </c>
      <c r="K114" s="25">
        <v>27.4</v>
      </c>
      <c r="L114" s="26">
        <v>20.5</v>
      </c>
      <c r="M114" s="25">
        <v>111.2</v>
      </c>
      <c r="N114" s="26">
        <v>83.2</v>
      </c>
      <c r="O114" s="20">
        <v>0.02</v>
      </c>
      <c r="P114" s="20">
        <f>O114*150/200</f>
        <v>0.015</v>
      </c>
      <c r="Q114" s="20">
        <v>0.01</v>
      </c>
      <c r="R114" s="20">
        <f>Q114*150/200</f>
        <v>0.0075</v>
      </c>
      <c r="S114" s="20">
        <v>0</v>
      </c>
      <c r="T114" s="20">
        <v>0</v>
      </c>
      <c r="U114" s="29">
        <v>25.91</v>
      </c>
      <c r="V114" s="20">
        <f>U114*150/200</f>
        <v>19.4325</v>
      </c>
      <c r="W114" s="29">
        <v>0.65</v>
      </c>
      <c r="X114" s="82">
        <f>W114*150/200</f>
        <v>0.4875</v>
      </c>
      <c r="Y114" s="22"/>
      <c r="Z114" s="22"/>
      <c r="AA114" s="22"/>
      <c r="AB114" s="22"/>
      <c r="AC114" s="22"/>
      <c r="AD114" s="22"/>
      <c r="AE114" s="22"/>
    </row>
    <row r="115" spans="1:31" s="68" customFormat="1" ht="15" customHeight="1">
      <c r="A115" s="129"/>
      <c r="B115" s="59" t="s">
        <v>30</v>
      </c>
      <c r="C115" s="60" t="s">
        <v>31</v>
      </c>
      <c r="D115" s="60" t="s">
        <v>31</v>
      </c>
      <c r="E115" s="61">
        <v>1.11</v>
      </c>
      <c r="F115" s="61">
        <v>1.11</v>
      </c>
      <c r="G115" s="61">
        <v>1.6</v>
      </c>
      <c r="H115" s="61">
        <v>1.6</v>
      </c>
      <c r="I115" s="61">
        <v>0.4</v>
      </c>
      <c r="J115" s="61">
        <v>0.4</v>
      </c>
      <c r="K115" s="61">
        <v>10</v>
      </c>
      <c r="L115" s="61">
        <v>10</v>
      </c>
      <c r="M115" s="62">
        <v>54</v>
      </c>
      <c r="N115" s="62">
        <v>54</v>
      </c>
      <c r="O115" s="65">
        <v>0.04</v>
      </c>
      <c r="P115" s="66">
        <v>0.04</v>
      </c>
      <c r="Q115" s="65">
        <v>0.02</v>
      </c>
      <c r="R115" s="66">
        <v>0.02</v>
      </c>
      <c r="S115" s="65">
        <v>0</v>
      </c>
      <c r="T115" s="66">
        <v>0</v>
      </c>
      <c r="U115" s="65">
        <v>7.4</v>
      </c>
      <c r="V115" s="66">
        <v>7.4</v>
      </c>
      <c r="W115" s="65">
        <v>0.56</v>
      </c>
      <c r="X115" s="66">
        <v>0.56</v>
      </c>
      <c r="Y115" s="67"/>
      <c r="Z115" s="67"/>
      <c r="AA115" s="67"/>
      <c r="AB115" s="67"/>
      <c r="AC115" s="67"/>
      <c r="AD115" s="67"/>
      <c r="AE115" s="67"/>
    </row>
    <row r="116" spans="1:31" ht="15" customHeight="1">
      <c r="A116" s="129"/>
      <c r="B116" s="59" t="s">
        <v>32</v>
      </c>
      <c r="C116" s="60" t="s">
        <v>89</v>
      </c>
      <c r="D116" s="60" t="s">
        <v>90</v>
      </c>
      <c r="E116" s="61">
        <v>2.09</v>
      </c>
      <c r="F116" s="61">
        <v>1.83</v>
      </c>
      <c r="G116" s="61">
        <v>3.25</v>
      </c>
      <c r="H116" s="62">
        <v>2.84</v>
      </c>
      <c r="I116" s="62">
        <v>0.46</v>
      </c>
      <c r="J116" s="62">
        <f>I116*40.6/46</f>
        <v>0.406</v>
      </c>
      <c r="K116" s="62">
        <v>20.88</v>
      </c>
      <c r="L116" s="62">
        <v>18.27</v>
      </c>
      <c r="M116" s="62">
        <v>102.08</v>
      </c>
      <c r="N116" s="62">
        <v>89.32</v>
      </c>
      <c r="O116" s="63">
        <v>0.06</v>
      </c>
      <c r="P116" s="69">
        <v>0.04</v>
      </c>
      <c r="Q116" s="63">
        <v>0.04</v>
      </c>
      <c r="R116" s="69">
        <v>0.03</v>
      </c>
      <c r="S116" s="63">
        <v>0</v>
      </c>
      <c r="T116" s="62">
        <f>S116*40.6/46</f>
        <v>0</v>
      </c>
      <c r="U116" s="65">
        <v>17</v>
      </c>
      <c r="V116" s="66">
        <v>13.6</v>
      </c>
      <c r="W116" s="65">
        <v>1.15</v>
      </c>
      <c r="X116" s="66">
        <v>0.92</v>
      </c>
      <c r="Y116" s="22"/>
      <c r="Z116" s="22"/>
      <c r="AA116" s="22"/>
      <c r="AB116" s="22"/>
      <c r="AC116" s="22"/>
      <c r="AD116" s="22"/>
      <c r="AE116" s="22"/>
    </row>
    <row r="117" spans="1:32" ht="15" customHeight="1">
      <c r="A117" s="16"/>
      <c r="B117" s="17" t="s">
        <v>23</v>
      </c>
      <c r="C117" s="18"/>
      <c r="D117" s="18"/>
      <c r="E117" s="28">
        <f>SUM(E110:E116)</f>
        <v>47.650000000000006</v>
      </c>
      <c r="F117" s="28">
        <f>SUM(F110:F116)</f>
        <v>44.35999999999999</v>
      </c>
      <c r="G117" s="28">
        <f>SUM(G110:G116)-7</f>
        <v>18.09</v>
      </c>
      <c r="H117" s="28">
        <f>SUM(H110:H116)-7</f>
        <v>16.520000000000003</v>
      </c>
      <c r="I117" s="28">
        <f aca="true" t="shared" si="30" ref="I117:T117">SUM(I110:I116)</f>
        <v>27.53</v>
      </c>
      <c r="J117" s="28">
        <f t="shared" si="30"/>
        <v>25.95333333333333</v>
      </c>
      <c r="K117" s="28">
        <f>SUM(K110:K116)+15</f>
        <v>112.82999999999998</v>
      </c>
      <c r="L117" s="28">
        <f>SUM(L110:L116)+0</f>
        <v>82.06666666666666</v>
      </c>
      <c r="M117" s="28">
        <f>SUM(M110:M116)-0</f>
        <v>745.58</v>
      </c>
      <c r="N117" s="28">
        <f>SUM(N110:N116)-42</f>
        <v>619.98</v>
      </c>
      <c r="O117" s="28">
        <f t="shared" si="30"/>
        <v>0.37</v>
      </c>
      <c r="P117" s="28">
        <f t="shared" si="30"/>
        <v>0.355</v>
      </c>
      <c r="Q117" s="28">
        <f t="shared" si="30"/>
        <v>0.23</v>
      </c>
      <c r="R117" s="28">
        <f t="shared" si="30"/>
        <v>0.27749999999999997</v>
      </c>
      <c r="S117" s="28">
        <f t="shared" si="30"/>
        <v>37.89</v>
      </c>
      <c r="T117" s="28">
        <f t="shared" si="30"/>
        <v>32.81666666666666</v>
      </c>
      <c r="U117" s="28">
        <f aca="true" t="shared" si="31" ref="U117:AB117">SUM(U110:U116)-3</f>
        <v>105.17</v>
      </c>
      <c r="V117" s="28">
        <f t="shared" si="31"/>
        <v>87.05000000000001</v>
      </c>
      <c r="W117" s="28">
        <f t="shared" si="31"/>
        <v>2.34</v>
      </c>
      <c r="X117" s="28">
        <f t="shared" si="31"/>
        <v>1.6174999999999997</v>
      </c>
      <c r="Y117" s="28">
        <f t="shared" si="31"/>
        <v>-3</v>
      </c>
      <c r="Z117" s="28">
        <f t="shared" si="31"/>
        <v>-3</v>
      </c>
      <c r="AA117" s="28">
        <f t="shared" si="31"/>
        <v>-3</v>
      </c>
      <c r="AB117" s="28">
        <f t="shared" si="31"/>
        <v>-3</v>
      </c>
      <c r="AC117" s="80"/>
      <c r="AD117" s="80"/>
      <c r="AE117" s="80"/>
      <c r="AF117" s="80"/>
    </row>
    <row r="118" spans="1:32" ht="15" customHeight="1">
      <c r="A118" s="16"/>
      <c r="B118" s="95" t="s">
        <v>33</v>
      </c>
      <c r="C118" s="18"/>
      <c r="D118" s="1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9"/>
      <c r="P118" s="29"/>
      <c r="Q118" s="29"/>
      <c r="R118" s="29"/>
      <c r="S118" s="29"/>
      <c r="T118" s="29"/>
      <c r="U118" s="29"/>
      <c r="V118" s="29"/>
      <c r="W118" s="29"/>
      <c r="X118" s="84"/>
      <c r="Y118" s="22"/>
      <c r="Z118" s="37"/>
      <c r="AA118" s="37"/>
      <c r="AB118" s="37"/>
      <c r="AC118" s="22"/>
      <c r="AD118" s="22"/>
      <c r="AE118" s="22"/>
      <c r="AF118" s="22"/>
    </row>
    <row r="119" spans="1:31" ht="15" customHeight="1">
      <c r="A119" s="129" t="s">
        <v>34</v>
      </c>
      <c r="B119" s="59" t="s">
        <v>35</v>
      </c>
      <c r="C119" s="60" t="s">
        <v>26</v>
      </c>
      <c r="D119" s="60" t="s">
        <v>26</v>
      </c>
      <c r="E119" s="61">
        <v>10.36</v>
      </c>
      <c r="F119" s="61">
        <v>10.36</v>
      </c>
      <c r="G119" s="61">
        <v>5.31</v>
      </c>
      <c r="H119" s="62">
        <v>5.31</v>
      </c>
      <c r="I119" s="61">
        <v>4.5</v>
      </c>
      <c r="J119" s="62">
        <v>4.5</v>
      </c>
      <c r="K119" s="61">
        <v>8.91</v>
      </c>
      <c r="L119" s="62">
        <v>8.91</v>
      </c>
      <c r="M119" s="61">
        <v>97.38</v>
      </c>
      <c r="N119" s="62">
        <v>97.38</v>
      </c>
      <c r="O119" s="61">
        <v>0.07</v>
      </c>
      <c r="P119" s="62">
        <v>0.07</v>
      </c>
      <c r="Q119" s="61">
        <v>0.3</v>
      </c>
      <c r="R119" s="62">
        <v>0.3</v>
      </c>
      <c r="S119" s="61">
        <v>2.46</v>
      </c>
      <c r="T119" s="62">
        <v>2.46</v>
      </c>
      <c r="U119" s="61">
        <v>275.74</v>
      </c>
      <c r="V119" s="62">
        <v>275.74</v>
      </c>
      <c r="W119" s="61">
        <v>0.23</v>
      </c>
      <c r="X119" s="62">
        <v>0.23</v>
      </c>
      <c r="Y119" s="37"/>
      <c r="Z119" s="37"/>
      <c r="AA119" s="37"/>
      <c r="AB119" s="37"/>
      <c r="AC119" s="37"/>
      <c r="AD119" s="37"/>
      <c r="AE119" s="22"/>
    </row>
    <row r="120" spans="1:32" ht="15" customHeight="1">
      <c r="A120" s="16"/>
      <c r="B120" s="17" t="s">
        <v>23</v>
      </c>
      <c r="C120" s="18"/>
      <c r="D120" s="18"/>
      <c r="E120" s="28">
        <f>SUM(E119)</f>
        <v>10.36</v>
      </c>
      <c r="F120" s="28">
        <f>SUM(F119)</f>
        <v>10.36</v>
      </c>
      <c r="G120" s="28">
        <f aca="true" t="shared" si="32" ref="G120:T120">SUM(G119)</f>
        <v>5.31</v>
      </c>
      <c r="H120" s="28">
        <f t="shared" si="32"/>
        <v>5.31</v>
      </c>
      <c r="I120" s="28">
        <f t="shared" si="32"/>
        <v>4.5</v>
      </c>
      <c r="J120" s="28">
        <f t="shared" si="32"/>
        <v>4.5</v>
      </c>
      <c r="K120" s="28">
        <f t="shared" si="32"/>
        <v>8.91</v>
      </c>
      <c r="L120" s="28">
        <f t="shared" si="32"/>
        <v>8.91</v>
      </c>
      <c r="M120" s="28">
        <f t="shared" si="32"/>
        <v>97.38</v>
      </c>
      <c r="N120" s="28">
        <f t="shared" si="32"/>
        <v>97.38</v>
      </c>
      <c r="O120" s="28">
        <f t="shared" si="32"/>
        <v>0.07</v>
      </c>
      <c r="P120" s="28">
        <f t="shared" si="32"/>
        <v>0.07</v>
      </c>
      <c r="Q120" s="28">
        <f t="shared" si="32"/>
        <v>0.3</v>
      </c>
      <c r="R120" s="28">
        <f t="shared" si="32"/>
        <v>0.3</v>
      </c>
      <c r="S120" s="28">
        <f t="shared" si="32"/>
        <v>2.46</v>
      </c>
      <c r="T120" s="28">
        <f t="shared" si="32"/>
        <v>2.46</v>
      </c>
      <c r="U120" s="28">
        <f>SUM(U119)</f>
        <v>275.74</v>
      </c>
      <c r="V120" s="28">
        <f>SUM(V119)</f>
        <v>275.74</v>
      </c>
      <c r="W120" s="28">
        <f>SUM(W119)</f>
        <v>0.23</v>
      </c>
      <c r="X120" s="83">
        <f>SUM(X119)</f>
        <v>0.23</v>
      </c>
      <c r="Y120" s="80"/>
      <c r="Z120" s="80"/>
      <c r="AA120" s="80"/>
      <c r="AB120" s="80"/>
      <c r="AC120" s="80"/>
      <c r="AD120" s="80"/>
      <c r="AE120" s="22"/>
      <c r="AF120" s="22"/>
    </row>
    <row r="121" spans="1:32" ht="15" customHeight="1">
      <c r="A121" s="16"/>
      <c r="B121" s="95" t="s">
        <v>36</v>
      </c>
      <c r="C121" s="18"/>
      <c r="D121" s="18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9"/>
      <c r="P121" s="29"/>
      <c r="Q121" s="29"/>
      <c r="R121" s="29"/>
      <c r="S121" s="29"/>
      <c r="T121" s="29"/>
      <c r="U121" s="29"/>
      <c r="V121" s="29"/>
      <c r="W121" s="29"/>
      <c r="X121" s="84"/>
      <c r="Y121" s="22"/>
      <c r="Z121" s="37"/>
      <c r="AA121" s="37"/>
      <c r="AB121" s="37"/>
      <c r="AC121" s="22"/>
      <c r="AD121" s="22"/>
      <c r="AE121" s="22"/>
      <c r="AF121" s="22"/>
    </row>
    <row r="122" spans="1:31" ht="38.25">
      <c r="A122" s="129" t="s">
        <v>200</v>
      </c>
      <c r="B122" s="59" t="s">
        <v>201</v>
      </c>
      <c r="C122" s="60" t="s">
        <v>202</v>
      </c>
      <c r="D122" s="60" t="s">
        <v>74</v>
      </c>
      <c r="E122" s="61">
        <v>44.51</v>
      </c>
      <c r="F122" s="61">
        <v>30.58</v>
      </c>
      <c r="G122" s="61">
        <v>26.07</v>
      </c>
      <c r="H122" s="62">
        <v>17.67</v>
      </c>
      <c r="I122" s="61">
        <v>19.25</v>
      </c>
      <c r="J122" s="62">
        <v>13.57</v>
      </c>
      <c r="K122" s="61">
        <v>34.22</v>
      </c>
      <c r="L122" s="62">
        <v>25.02</v>
      </c>
      <c r="M122" s="61">
        <v>398.75</v>
      </c>
      <c r="N122" s="62">
        <v>282.75</v>
      </c>
      <c r="O122" s="61">
        <f>P122*150/100</f>
        <v>0.10500000000000002</v>
      </c>
      <c r="P122" s="62">
        <v>0.07</v>
      </c>
      <c r="Q122" s="61">
        <f>R122*150/100</f>
        <v>0.435</v>
      </c>
      <c r="R122" s="62">
        <v>0.29</v>
      </c>
      <c r="S122" s="61">
        <v>1.56</v>
      </c>
      <c r="T122" s="62">
        <v>1.06</v>
      </c>
      <c r="U122" s="61">
        <f>V122*150/100</f>
        <v>211.92</v>
      </c>
      <c r="V122" s="62">
        <v>141.28</v>
      </c>
      <c r="W122" s="61">
        <f>X122*150/100</f>
        <v>1.425</v>
      </c>
      <c r="X122" s="62">
        <v>0.95</v>
      </c>
      <c r="Y122" s="32"/>
      <c r="Z122" s="37"/>
      <c r="AA122" s="37"/>
      <c r="AB122" s="37"/>
      <c r="AC122" s="37"/>
      <c r="AD122" s="22"/>
      <c r="AE122" s="22"/>
    </row>
    <row r="123" spans="1:31" ht="15" customHeight="1">
      <c r="A123" s="130" t="s">
        <v>105</v>
      </c>
      <c r="B123" s="23" t="s">
        <v>106</v>
      </c>
      <c r="C123" s="18" t="s">
        <v>21</v>
      </c>
      <c r="D123" s="18" t="s">
        <v>22</v>
      </c>
      <c r="E123" s="19">
        <v>0.55</v>
      </c>
      <c r="F123" s="19">
        <v>0.41</v>
      </c>
      <c r="G123" s="19">
        <v>0.18</v>
      </c>
      <c r="H123" s="20">
        <v>0.13</v>
      </c>
      <c r="I123" s="19">
        <f>J123*200/150</f>
        <v>0</v>
      </c>
      <c r="J123" s="20">
        <v>0</v>
      </c>
      <c r="K123" s="19">
        <v>4.78</v>
      </c>
      <c r="L123" s="20">
        <v>3.58</v>
      </c>
      <c r="M123" s="19">
        <v>19.9</v>
      </c>
      <c r="N123" s="20">
        <v>14.92</v>
      </c>
      <c r="O123" s="19">
        <f>P123*200/150</f>
        <v>0.013333333333333334</v>
      </c>
      <c r="P123" s="29">
        <v>0.01</v>
      </c>
      <c r="Q123" s="19">
        <f>R123*200/150</f>
        <v>0.013333333333333334</v>
      </c>
      <c r="R123" s="29">
        <v>0.01</v>
      </c>
      <c r="S123" s="19">
        <v>0.04</v>
      </c>
      <c r="T123" s="29">
        <v>0.03</v>
      </c>
      <c r="U123" s="19">
        <f>V123*200/150</f>
        <v>5.053333333333334</v>
      </c>
      <c r="V123" s="29">
        <v>3.79</v>
      </c>
      <c r="W123" s="19">
        <f>X123*200/150</f>
        <v>0.84</v>
      </c>
      <c r="X123" s="84">
        <v>0.63</v>
      </c>
      <c r="Y123" s="22"/>
      <c r="Z123" s="22"/>
      <c r="AA123" s="22"/>
      <c r="AB123" s="22"/>
      <c r="AC123" s="22"/>
      <c r="AD123" s="22"/>
      <c r="AE123" s="22"/>
    </row>
    <row r="124" spans="1:31" s="68" customFormat="1" ht="15" customHeight="1">
      <c r="A124" s="129"/>
      <c r="B124" s="59" t="s">
        <v>30</v>
      </c>
      <c r="C124" s="60" t="s">
        <v>31</v>
      </c>
      <c r="D124" s="60" t="s">
        <v>31</v>
      </c>
      <c r="E124" s="61">
        <v>1.11</v>
      </c>
      <c r="F124" s="61">
        <v>1.11</v>
      </c>
      <c r="G124" s="61">
        <v>1.6</v>
      </c>
      <c r="H124" s="61">
        <v>1.6</v>
      </c>
      <c r="I124" s="61">
        <v>0.4</v>
      </c>
      <c r="J124" s="61">
        <v>0.4</v>
      </c>
      <c r="K124" s="61">
        <v>10</v>
      </c>
      <c r="L124" s="61">
        <v>10</v>
      </c>
      <c r="M124" s="62">
        <v>54</v>
      </c>
      <c r="N124" s="62">
        <v>54</v>
      </c>
      <c r="O124" s="65">
        <v>0.04</v>
      </c>
      <c r="P124" s="66">
        <v>0.04</v>
      </c>
      <c r="Q124" s="65">
        <v>0.02</v>
      </c>
      <c r="R124" s="66">
        <v>0.02</v>
      </c>
      <c r="S124" s="65">
        <v>0</v>
      </c>
      <c r="T124" s="66">
        <v>0</v>
      </c>
      <c r="U124" s="65">
        <v>7.4</v>
      </c>
      <c r="V124" s="66">
        <v>7.4</v>
      </c>
      <c r="W124" s="65">
        <v>0.56</v>
      </c>
      <c r="X124" s="66">
        <v>0.56</v>
      </c>
      <c r="Y124" s="67"/>
      <c r="Z124" s="67"/>
      <c r="AA124" s="67"/>
      <c r="AB124" s="67"/>
      <c r="AC124" s="67"/>
      <c r="AD124" s="67"/>
      <c r="AE124" s="67"/>
    </row>
    <row r="125" spans="1:32" ht="15" customHeight="1">
      <c r="A125" s="16"/>
      <c r="B125" s="17" t="s">
        <v>23</v>
      </c>
      <c r="C125" s="18"/>
      <c r="D125" s="18"/>
      <c r="E125" s="28">
        <f>SUM(E122:E124)</f>
        <v>46.169999999999995</v>
      </c>
      <c r="F125" s="28">
        <f>SUM(F122:F124)</f>
        <v>32.1</v>
      </c>
      <c r="G125" s="28">
        <f aca="true" t="shared" si="33" ref="G125:T125">SUM(G122:G124)</f>
        <v>27.85</v>
      </c>
      <c r="H125" s="28">
        <f t="shared" si="33"/>
        <v>19.400000000000002</v>
      </c>
      <c r="I125" s="28">
        <f t="shared" si="33"/>
        <v>19.65</v>
      </c>
      <c r="J125" s="28">
        <f t="shared" si="33"/>
        <v>13.97</v>
      </c>
      <c r="K125" s="28">
        <f t="shared" si="33"/>
        <v>49</v>
      </c>
      <c r="L125" s="28">
        <f t="shared" si="33"/>
        <v>38.6</v>
      </c>
      <c r="M125" s="28">
        <f t="shared" si="33"/>
        <v>472.65</v>
      </c>
      <c r="N125" s="28">
        <f t="shared" si="33"/>
        <v>351.67</v>
      </c>
      <c r="O125" s="28">
        <f t="shared" si="33"/>
        <v>0.15833333333333335</v>
      </c>
      <c r="P125" s="28">
        <f t="shared" si="33"/>
        <v>0.12</v>
      </c>
      <c r="Q125" s="28">
        <f t="shared" si="33"/>
        <v>0.4683333333333333</v>
      </c>
      <c r="R125" s="28">
        <f t="shared" si="33"/>
        <v>0.32</v>
      </c>
      <c r="S125" s="28">
        <f t="shared" si="33"/>
        <v>1.6</v>
      </c>
      <c r="T125" s="28">
        <f t="shared" si="33"/>
        <v>1.09</v>
      </c>
      <c r="U125" s="28">
        <f aca="true" t="shared" si="34" ref="U125:AB125">SUM(U122:U124)</f>
        <v>224.37333333333333</v>
      </c>
      <c r="V125" s="28">
        <f t="shared" si="34"/>
        <v>152.47</v>
      </c>
      <c r="W125" s="28">
        <f t="shared" si="34"/>
        <v>2.825</v>
      </c>
      <c r="X125" s="28">
        <f t="shared" si="34"/>
        <v>2.14</v>
      </c>
      <c r="Y125" s="28">
        <f t="shared" si="34"/>
        <v>0</v>
      </c>
      <c r="Z125" s="28">
        <f t="shared" si="34"/>
        <v>0</v>
      </c>
      <c r="AA125" s="28">
        <f t="shared" si="34"/>
        <v>0</v>
      </c>
      <c r="AB125" s="28">
        <f t="shared" si="34"/>
        <v>0</v>
      </c>
      <c r="AC125" s="80"/>
      <c r="AD125" s="22"/>
      <c r="AE125" s="22"/>
      <c r="AF125" s="22"/>
    </row>
    <row r="126" spans="1:32" ht="15" customHeight="1">
      <c r="A126" s="16"/>
      <c r="B126" s="17" t="s">
        <v>37</v>
      </c>
      <c r="C126" s="18"/>
      <c r="D126" s="18"/>
      <c r="E126" s="28">
        <f>E125+E120+E117+E108+E105</f>
        <v>134.03</v>
      </c>
      <c r="F126" s="28">
        <f>F125+F120+F117+F108+F105</f>
        <v>110.19</v>
      </c>
      <c r="G126" s="28">
        <f aca="true" t="shared" si="35" ref="G126:T126">G125+G120+G117+G108+G105</f>
        <v>63.85</v>
      </c>
      <c r="H126" s="28">
        <f t="shared" si="35"/>
        <v>50.84</v>
      </c>
      <c r="I126" s="28">
        <f t="shared" si="35"/>
        <v>68.13</v>
      </c>
      <c r="J126" s="28">
        <f t="shared" si="35"/>
        <v>54.36583333333333</v>
      </c>
      <c r="K126" s="28">
        <f t="shared" si="35"/>
        <v>235.85999999999996</v>
      </c>
      <c r="L126" s="28">
        <f t="shared" si="35"/>
        <v>185.67666666666665</v>
      </c>
      <c r="M126" s="28">
        <f t="shared" si="35"/>
        <v>1817.01</v>
      </c>
      <c r="N126" s="28">
        <f t="shared" si="35"/>
        <v>1444.5525</v>
      </c>
      <c r="O126" s="28">
        <f t="shared" si="35"/>
        <v>0.9403333333333335</v>
      </c>
      <c r="P126" s="28">
        <f t="shared" si="35"/>
        <v>0.7891666666666666</v>
      </c>
      <c r="Q126" s="28">
        <f t="shared" si="35"/>
        <v>1.4863333333333333</v>
      </c>
      <c r="R126" s="28">
        <f t="shared" si="35"/>
        <v>1.2625</v>
      </c>
      <c r="S126" s="28">
        <f t="shared" si="35"/>
        <v>48.34</v>
      </c>
      <c r="T126" s="28">
        <f t="shared" si="35"/>
        <v>42.14166666666666</v>
      </c>
      <c r="U126" s="28">
        <f>U125+U120+U117+U108+U105</f>
        <v>994.4153333333334</v>
      </c>
      <c r="V126" s="28">
        <f>V125+V120+V117+V108+V105</f>
        <v>835.94</v>
      </c>
      <c r="W126" s="28">
        <f>W125+W120+W117+W108+W105</f>
        <v>8.280999999999999</v>
      </c>
      <c r="X126" s="83">
        <f>X125+X120+X117+X108+X105</f>
        <v>6.0600000000000005</v>
      </c>
      <c r="Y126" s="80"/>
      <c r="Z126" s="80"/>
      <c r="AA126" s="80"/>
      <c r="AB126" s="80"/>
      <c r="AC126" s="80"/>
      <c r="AD126" s="148"/>
      <c r="AE126" s="148"/>
      <c r="AF126" s="22"/>
    </row>
    <row r="127" spans="1:32" ht="15" customHeight="1">
      <c r="A127" s="16"/>
      <c r="B127" s="93" t="s">
        <v>199</v>
      </c>
      <c r="C127" s="18"/>
      <c r="D127" s="18"/>
      <c r="E127" s="19"/>
      <c r="F127" s="28"/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9"/>
      <c r="U127" s="29"/>
      <c r="V127" s="29"/>
      <c r="W127" s="29"/>
      <c r="X127" s="84"/>
      <c r="Y127" s="22"/>
      <c r="Z127" s="37"/>
      <c r="AA127" s="37"/>
      <c r="AB127" s="37"/>
      <c r="AC127" s="22"/>
      <c r="AD127" s="148"/>
      <c r="AE127" s="148"/>
      <c r="AF127" s="22"/>
    </row>
    <row r="128" spans="1:32" ht="15" customHeight="1">
      <c r="A128" s="16"/>
      <c r="B128" s="95" t="s">
        <v>51</v>
      </c>
      <c r="C128" s="18"/>
      <c r="D128" s="18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9"/>
      <c r="U128" s="29"/>
      <c r="V128" s="29"/>
      <c r="W128" s="29"/>
      <c r="X128" s="84"/>
      <c r="Y128" s="22"/>
      <c r="Z128" s="37"/>
      <c r="AA128" s="37"/>
      <c r="AB128" s="37"/>
      <c r="AC128" s="22"/>
      <c r="AD128" s="22"/>
      <c r="AE128" s="22"/>
      <c r="AF128" s="22"/>
    </row>
    <row r="129" spans="1:30" s="31" customFormat="1" ht="15" customHeight="1">
      <c r="A129" s="129" t="s">
        <v>38</v>
      </c>
      <c r="B129" s="59" t="s">
        <v>39</v>
      </c>
      <c r="C129" s="60" t="s">
        <v>101</v>
      </c>
      <c r="D129" s="60" t="s">
        <v>101</v>
      </c>
      <c r="E129" s="61">
        <v>4.03</v>
      </c>
      <c r="F129" s="61">
        <v>4.03</v>
      </c>
      <c r="G129" s="61">
        <v>1.63</v>
      </c>
      <c r="H129" s="62">
        <v>1.63</v>
      </c>
      <c r="I129" s="62">
        <v>4.7</v>
      </c>
      <c r="J129" s="62">
        <v>4.7</v>
      </c>
      <c r="K129" s="62">
        <v>10.4</v>
      </c>
      <c r="L129" s="62">
        <v>10.4</v>
      </c>
      <c r="M129" s="62">
        <v>90.42</v>
      </c>
      <c r="N129" s="62">
        <v>90.42</v>
      </c>
      <c r="O129" s="63">
        <v>0.08</v>
      </c>
      <c r="P129" s="69">
        <v>0.05</v>
      </c>
      <c r="Q129" s="63">
        <v>0.04</v>
      </c>
      <c r="R129" s="69">
        <v>0.02</v>
      </c>
      <c r="S129" s="63">
        <v>0</v>
      </c>
      <c r="T129" s="62">
        <f>S129*25/45</f>
        <v>0</v>
      </c>
      <c r="U129" s="65">
        <v>13.6</v>
      </c>
      <c r="V129" s="66">
        <v>8.6</v>
      </c>
      <c r="W129" s="65">
        <v>0.81</v>
      </c>
      <c r="X129" s="66">
        <v>0.49</v>
      </c>
      <c r="Y129" s="30"/>
      <c r="Z129" s="30"/>
      <c r="AA129" s="30"/>
      <c r="AB129" s="30"/>
      <c r="AC129" s="30"/>
      <c r="AD129" s="30"/>
    </row>
    <row r="130" spans="1:32" ht="27" customHeight="1">
      <c r="A130" s="130" t="s">
        <v>91</v>
      </c>
      <c r="B130" s="17" t="s">
        <v>110</v>
      </c>
      <c r="C130" s="18" t="s">
        <v>21</v>
      </c>
      <c r="D130" s="18" t="s">
        <v>22</v>
      </c>
      <c r="E130" s="19">
        <v>6.72</v>
      </c>
      <c r="F130" s="19">
        <v>5.04</v>
      </c>
      <c r="G130" s="19">
        <v>5.6</v>
      </c>
      <c r="H130" s="19">
        <v>4.2</v>
      </c>
      <c r="I130" s="19">
        <v>5.2</v>
      </c>
      <c r="J130" s="19">
        <f>I130*150/200</f>
        <v>3.9</v>
      </c>
      <c r="K130" s="19">
        <v>18.8</v>
      </c>
      <c r="L130" s="19">
        <f>K130*150/200</f>
        <v>14.1</v>
      </c>
      <c r="M130" s="19">
        <v>144.4</v>
      </c>
      <c r="N130" s="19">
        <f>M130*150/200</f>
        <v>108.3</v>
      </c>
      <c r="O130" s="20">
        <v>0.06</v>
      </c>
      <c r="P130" s="19">
        <f>O130*150/200</f>
        <v>0.045</v>
      </c>
      <c r="Q130" s="20">
        <v>0.15</v>
      </c>
      <c r="R130" s="19">
        <f>Q130*150/200</f>
        <v>0.1125</v>
      </c>
      <c r="S130" s="20">
        <v>0.9</v>
      </c>
      <c r="T130" s="19">
        <v>0.67</v>
      </c>
      <c r="U130" s="20">
        <v>125.06</v>
      </c>
      <c r="V130" s="19">
        <f>U130*150/200</f>
        <v>93.795</v>
      </c>
      <c r="W130" s="20">
        <v>0.35</v>
      </c>
      <c r="X130" s="113">
        <f>W130*150/200</f>
        <v>0.2625</v>
      </c>
      <c r="Y130" s="22"/>
      <c r="Z130" s="22"/>
      <c r="AA130" s="22"/>
      <c r="AB130" s="22"/>
      <c r="AC130" s="22"/>
      <c r="AD130" s="22"/>
      <c r="AE130" s="22"/>
      <c r="AF130" s="22"/>
    </row>
    <row r="131" spans="1:31" ht="15" customHeight="1">
      <c r="A131" s="129" t="s">
        <v>46</v>
      </c>
      <c r="B131" s="59" t="s">
        <v>47</v>
      </c>
      <c r="C131" s="60" t="s">
        <v>26</v>
      </c>
      <c r="D131" s="60" t="s">
        <v>22</v>
      </c>
      <c r="E131" s="61">
        <v>6.02</v>
      </c>
      <c r="F131" s="61">
        <v>5.02</v>
      </c>
      <c r="G131" s="63">
        <v>2.95</v>
      </c>
      <c r="H131" s="63">
        <v>2.46</v>
      </c>
      <c r="I131" s="63">
        <v>3.24</v>
      </c>
      <c r="J131" s="63">
        <v>2.7</v>
      </c>
      <c r="K131" s="63">
        <v>22.82</v>
      </c>
      <c r="L131" s="63">
        <v>19.02</v>
      </c>
      <c r="M131" s="63">
        <v>132.26</v>
      </c>
      <c r="N131" s="62">
        <v>110.22</v>
      </c>
      <c r="O131" s="63">
        <f>P131*180/150</f>
        <v>0.024</v>
      </c>
      <c r="P131" s="69">
        <v>0.02</v>
      </c>
      <c r="Q131" s="63">
        <f>R131*180/150</f>
        <v>0.12</v>
      </c>
      <c r="R131" s="69">
        <v>0.1</v>
      </c>
      <c r="S131" s="63">
        <v>1.43</v>
      </c>
      <c r="T131" s="69">
        <v>1.2</v>
      </c>
      <c r="U131" s="63">
        <f>V131*180/150</f>
        <v>109.58399999999999</v>
      </c>
      <c r="V131" s="69">
        <v>91.32</v>
      </c>
      <c r="W131" s="63">
        <f>X131*180/150</f>
        <v>0.36</v>
      </c>
      <c r="X131" s="69">
        <v>0.3</v>
      </c>
      <c r="Y131" s="22"/>
      <c r="Z131" s="22"/>
      <c r="AA131" s="22"/>
      <c r="AB131" s="22"/>
      <c r="AC131" s="22"/>
      <c r="AD131" s="22"/>
      <c r="AE131" s="22"/>
    </row>
    <row r="132" spans="1:32" ht="15" customHeight="1">
      <c r="A132" s="16"/>
      <c r="B132" s="17" t="s">
        <v>23</v>
      </c>
      <c r="C132" s="18"/>
      <c r="D132" s="18"/>
      <c r="E132" s="28">
        <f>SUM(E129:E131)</f>
        <v>16.77</v>
      </c>
      <c r="F132" s="28">
        <f>SUM(F129:F131)</f>
        <v>14.09</v>
      </c>
      <c r="G132" s="28">
        <f aca="true" t="shared" si="36" ref="G132:T132">SUM(G129:G131)</f>
        <v>10.18</v>
      </c>
      <c r="H132" s="28">
        <f t="shared" si="36"/>
        <v>8.29</v>
      </c>
      <c r="I132" s="28">
        <f t="shared" si="36"/>
        <v>13.14</v>
      </c>
      <c r="J132" s="28">
        <f t="shared" si="36"/>
        <v>11.3</v>
      </c>
      <c r="K132" s="28">
        <f t="shared" si="36"/>
        <v>52.02</v>
      </c>
      <c r="L132" s="28">
        <f t="shared" si="36"/>
        <v>43.519999999999996</v>
      </c>
      <c r="M132" s="28">
        <f t="shared" si="36"/>
        <v>367.08</v>
      </c>
      <c r="N132" s="28">
        <f t="shared" si="36"/>
        <v>308.94</v>
      </c>
      <c r="O132" s="28">
        <f t="shared" si="36"/>
        <v>0.164</v>
      </c>
      <c r="P132" s="28">
        <f t="shared" si="36"/>
        <v>0.115</v>
      </c>
      <c r="Q132" s="28">
        <f t="shared" si="36"/>
        <v>0.31</v>
      </c>
      <c r="R132" s="28">
        <f t="shared" si="36"/>
        <v>0.2325</v>
      </c>
      <c r="S132" s="28">
        <f t="shared" si="36"/>
        <v>2.33</v>
      </c>
      <c r="T132" s="28">
        <f t="shared" si="36"/>
        <v>1.87</v>
      </c>
      <c r="U132" s="28">
        <f>SUM(U129:U131)</f>
        <v>248.24399999999997</v>
      </c>
      <c r="V132" s="28">
        <f>SUM(V129:V131)</f>
        <v>193.71499999999997</v>
      </c>
      <c r="W132" s="28">
        <f>SUM(W129:W131)</f>
        <v>1.52</v>
      </c>
      <c r="X132" s="28">
        <f>SUM(X129:X131)</f>
        <v>1.0525</v>
      </c>
      <c r="Y132" s="90">
        <f>SUM(Y129:Y131)</f>
        <v>0</v>
      </c>
      <c r="Z132" s="80"/>
      <c r="AA132" s="80"/>
      <c r="AB132" s="80"/>
      <c r="AC132" s="80"/>
      <c r="AD132" s="22"/>
      <c r="AE132" s="22"/>
      <c r="AF132" s="22"/>
    </row>
    <row r="133" spans="1:32" ht="15" customHeight="1">
      <c r="A133" s="16"/>
      <c r="B133" s="95" t="s">
        <v>52</v>
      </c>
      <c r="C133" s="18"/>
      <c r="D133" s="18"/>
      <c r="E133" s="19"/>
      <c r="F133" s="19"/>
      <c r="G133" s="19"/>
      <c r="H133" s="41"/>
      <c r="I133" s="41"/>
      <c r="J133" s="41"/>
      <c r="K133" s="41"/>
      <c r="L133" s="41"/>
      <c r="M133" s="41"/>
      <c r="N133" s="41"/>
      <c r="O133" s="29"/>
      <c r="P133" s="29"/>
      <c r="Q133" s="29"/>
      <c r="R133" s="29"/>
      <c r="S133" s="29"/>
      <c r="T133" s="29"/>
      <c r="U133" s="29"/>
      <c r="V133" s="29"/>
      <c r="W133" s="29"/>
      <c r="X133" s="84"/>
      <c r="Y133" s="22"/>
      <c r="Z133" s="37"/>
      <c r="AA133" s="37"/>
      <c r="AB133" s="37"/>
      <c r="AC133" s="22"/>
      <c r="AD133" s="22"/>
      <c r="AE133" s="22"/>
      <c r="AF133" s="22"/>
    </row>
    <row r="134" spans="1:30" ht="15" customHeight="1">
      <c r="A134" s="154" t="s">
        <v>43</v>
      </c>
      <c r="B134" s="17" t="s">
        <v>83</v>
      </c>
      <c r="C134" s="18" t="s">
        <v>22</v>
      </c>
      <c r="D134" s="18" t="s">
        <v>160</v>
      </c>
      <c r="E134" s="19">
        <v>12.36</v>
      </c>
      <c r="F134" s="19">
        <v>11.53</v>
      </c>
      <c r="G134" s="25">
        <v>5.1</v>
      </c>
      <c r="H134" s="25">
        <v>5.1</v>
      </c>
      <c r="I134" s="25">
        <v>4.56</v>
      </c>
      <c r="J134" s="25">
        <v>4.56</v>
      </c>
      <c r="K134" s="25">
        <v>6.8</v>
      </c>
      <c r="L134" s="25">
        <v>6.8</v>
      </c>
      <c r="M134" s="25">
        <v>85.86</v>
      </c>
      <c r="N134" s="25">
        <v>85.86</v>
      </c>
      <c r="O134" s="25">
        <f>P134*180/150</f>
        <v>0.06</v>
      </c>
      <c r="P134" s="25">
        <v>0.05</v>
      </c>
      <c r="Q134" s="25">
        <f>R134*180/150</f>
        <v>0.31200000000000006</v>
      </c>
      <c r="R134" s="25">
        <v>0.26</v>
      </c>
      <c r="S134" s="25">
        <v>3.4</v>
      </c>
      <c r="T134" s="25">
        <v>3.4</v>
      </c>
      <c r="U134" s="61">
        <v>235.31</v>
      </c>
      <c r="V134" s="62">
        <f>U134*150/180</f>
        <v>196.09166666666667</v>
      </c>
      <c r="W134" s="61">
        <v>0.19</v>
      </c>
      <c r="X134" s="89">
        <f>W134*150/180</f>
        <v>0.15833333333333333</v>
      </c>
      <c r="Y134" s="87"/>
      <c r="Z134" s="37"/>
      <c r="AA134" s="37"/>
      <c r="AB134" s="37"/>
      <c r="AC134" s="37"/>
      <c r="AD134" s="37"/>
    </row>
    <row r="135" spans="1:32" ht="15" customHeight="1">
      <c r="A135" s="16"/>
      <c r="B135" s="17" t="s">
        <v>23</v>
      </c>
      <c r="C135" s="18"/>
      <c r="D135" s="18"/>
      <c r="E135" s="28">
        <f>SUM(E134)</f>
        <v>12.36</v>
      </c>
      <c r="F135" s="28">
        <f>SUM(F134)</f>
        <v>11.53</v>
      </c>
      <c r="G135" s="28">
        <f aca="true" t="shared" si="37" ref="G135:T135">SUM(G134)</f>
        <v>5.1</v>
      </c>
      <c r="H135" s="28">
        <f t="shared" si="37"/>
        <v>5.1</v>
      </c>
      <c r="I135" s="28">
        <f t="shared" si="37"/>
        <v>4.56</v>
      </c>
      <c r="J135" s="28">
        <f t="shared" si="37"/>
        <v>4.56</v>
      </c>
      <c r="K135" s="28">
        <f t="shared" si="37"/>
        <v>6.8</v>
      </c>
      <c r="L135" s="28">
        <f t="shared" si="37"/>
        <v>6.8</v>
      </c>
      <c r="M135" s="28">
        <f t="shared" si="37"/>
        <v>85.86</v>
      </c>
      <c r="N135" s="28">
        <f t="shared" si="37"/>
        <v>85.86</v>
      </c>
      <c r="O135" s="28">
        <f t="shared" si="37"/>
        <v>0.06</v>
      </c>
      <c r="P135" s="28">
        <f t="shared" si="37"/>
        <v>0.05</v>
      </c>
      <c r="Q135" s="28">
        <f t="shared" si="37"/>
        <v>0.31200000000000006</v>
      </c>
      <c r="R135" s="28">
        <f t="shared" si="37"/>
        <v>0.26</v>
      </c>
      <c r="S135" s="28">
        <f t="shared" si="37"/>
        <v>3.4</v>
      </c>
      <c r="T135" s="28">
        <f t="shared" si="37"/>
        <v>3.4</v>
      </c>
      <c r="U135" s="28">
        <f>SUM(U134)</f>
        <v>235.31</v>
      </c>
      <c r="V135" s="28">
        <f>SUM(V134)</f>
        <v>196.09166666666667</v>
      </c>
      <c r="W135" s="28">
        <f>SUM(W134)</f>
        <v>0.19</v>
      </c>
      <c r="X135" s="83">
        <f>SUM(X134)</f>
        <v>0.15833333333333333</v>
      </c>
      <c r="Y135" s="80"/>
      <c r="Z135" s="80"/>
      <c r="AA135" s="80"/>
      <c r="AB135" s="80"/>
      <c r="AC135" s="80"/>
      <c r="AD135" s="80"/>
      <c r="AE135" s="80"/>
      <c r="AF135" s="80"/>
    </row>
    <row r="136" spans="1:32" ht="15" customHeight="1">
      <c r="A136" s="16"/>
      <c r="B136" s="95" t="s">
        <v>27</v>
      </c>
      <c r="C136" s="18"/>
      <c r="D136" s="18"/>
      <c r="E136" s="19"/>
      <c r="F136" s="19"/>
      <c r="G136" s="19"/>
      <c r="H136" s="20"/>
      <c r="I136" s="20"/>
      <c r="J136" s="20"/>
      <c r="K136" s="20"/>
      <c r="L136" s="20"/>
      <c r="M136" s="20"/>
      <c r="N136" s="20"/>
      <c r="O136" s="29"/>
      <c r="P136" s="29"/>
      <c r="Q136" s="29"/>
      <c r="R136" s="29"/>
      <c r="S136" s="29"/>
      <c r="T136" s="29"/>
      <c r="U136" s="29"/>
      <c r="V136" s="29"/>
      <c r="W136" s="29"/>
      <c r="X136" s="84"/>
      <c r="Y136" s="22"/>
      <c r="Z136" s="37"/>
      <c r="AA136" s="37"/>
      <c r="AB136" s="37"/>
      <c r="AC136" s="22"/>
      <c r="AD136" s="22"/>
      <c r="AE136" s="22"/>
      <c r="AF136" s="22"/>
    </row>
    <row r="137" spans="1:24" ht="22.5">
      <c r="A137" s="153" t="s">
        <v>189</v>
      </c>
      <c r="B137" s="59" t="s">
        <v>190</v>
      </c>
      <c r="C137" s="60" t="s">
        <v>161</v>
      </c>
      <c r="D137" s="60" t="s">
        <v>167</v>
      </c>
      <c r="E137" s="61">
        <v>1.33</v>
      </c>
      <c r="F137" s="61">
        <v>1.2</v>
      </c>
      <c r="G137" s="62">
        <f>H137*50/45</f>
        <v>0.7222222222222222</v>
      </c>
      <c r="H137" s="62">
        <v>0.65</v>
      </c>
      <c r="I137" s="62">
        <f>J137*50/45</f>
        <v>2.2444444444444445</v>
      </c>
      <c r="J137" s="62">
        <v>2.02</v>
      </c>
      <c r="K137" s="62">
        <f>L137*50/45</f>
        <v>2.2</v>
      </c>
      <c r="L137" s="62">
        <v>1.98</v>
      </c>
      <c r="M137" s="62">
        <f>N137*50/45</f>
        <v>32</v>
      </c>
      <c r="N137" s="62">
        <v>28.8</v>
      </c>
      <c r="O137" s="63">
        <v>0.02</v>
      </c>
      <c r="P137" s="62">
        <f>O137*30/40</f>
        <v>0.015</v>
      </c>
      <c r="Q137" s="63">
        <v>0.02</v>
      </c>
      <c r="R137" s="62">
        <f>Q137*30/40</f>
        <v>0.015</v>
      </c>
      <c r="S137" s="62">
        <f>T137*50/45</f>
        <v>19.3</v>
      </c>
      <c r="T137" s="62">
        <v>17.37</v>
      </c>
      <c r="U137" s="63">
        <v>5.6</v>
      </c>
      <c r="V137" s="62">
        <f>U137*30/40</f>
        <v>4.2</v>
      </c>
      <c r="W137" s="63">
        <v>0.56</v>
      </c>
      <c r="X137" s="62">
        <f>W137*30/40</f>
        <v>0.42000000000000004</v>
      </c>
    </row>
    <row r="138" spans="1:31" s="31" customFormat="1" ht="25.5">
      <c r="A138" s="139" t="s">
        <v>121</v>
      </c>
      <c r="B138" s="23" t="s">
        <v>157</v>
      </c>
      <c r="C138" s="18" t="s">
        <v>152</v>
      </c>
      <c r="D138" s="18" t="s">
        <v>153</v>
      </c>
      <c r="E138" s="34">
        <v>6.88</v>
      </c>
      <c r="F138" s="19">
        <v>5.38</v>
      </c>
      <c r="G138" s="25">
        <v>1.74</v>
      </c>
      <c r="H138" s="25">
        <v>1.34</v>
      </c>
      <c r="I138" s="25">
        <v>4.91</v>
      </c>
      <c r="J138" s="25">
        <v>3.87</v>
      </c>
      <c r="K138" s="25">
        <v>10.64</v>
      </c>
      <c r="L138" s="25">
        <v>8.02</v>
      </c>
      <c r="M138" s="25">
        <v>93.71</v>
      </c>
      <c r="N138" s="25">
        <v>72.27</v>
      </c>
      <c r="O138" s="20">
        <v>0.09</v>
      </c>
      <c r="P138" s="20">
        <v>0.07</v>
      </c>
      <c r="Q138" s="20">
        <v>0.1</v>
      </c>
      <c r="R138" s="20">
        <v>0.08</v>
      </c>
      <c r="S138" s="20">
        <v>8.21</v>
      </c>
      <c r="T138" s="25">
        <v>6.16</v>
      </c>
      <c r="U138" s="29">
        <v>42.44</v>
      </c>
      <c r="V138" s="29">
        <v>30.79</v>
      </c>
      <c r="W138" s="29">
        <v>1.67</v>
      </c>
      <c r="X138" s="29">
        <v>1.45</v>
      </c>
      <c r="Z138" s="30"/>
      <c r="AA138" s="30"/>
      <c r="AB138" s="30"/>
      <c r="AC138" s="30"/>
      <c r="AD138" s="30"/>
      <c r="AE138" s="30"/>
    </row>
    <row r="139" spans="1:31" s="31" customFormat="1" ht="15" customHeight="1">
      <c r="A139" s="129" t="s">
        <v>102</v>
      </c>
      <c r="B139" s="140" t="s">
        <v>103</v>
      </c>
      <c r="C139" s="115" t="s">
        <v>100</v>
      </c>
      <c r="D139" s="115" t="s">
        <v>100</v>
      </c>
      <c r="E139" s="33">
        <v>34.73</v>
      </c>
      <c r="F139" s="33">
        <v>34.73</v>
      </c>
      <c r="G139" s="63">
        <v>13.9</v>
      </c>
      <c r="H139" s="63">
        <v>13.9</v>
      </c>
      <c r="I139" s="63">
        <v>6.5</v>
      </c>
      <c r="J139" s="63">
        <v>6.5</v>
      </c>
      <c r="K139" s="63">
        <v>4</v>
      </c>
      <c r="L139" s="63">
        <v>4</v>
      </c>
      <c r="M139" s="63">
        <v>132</v>
      </c>
      <c r="N139" s="111">
        <v>132</v>
      </c>
      <c r="O139" s="62">
        <v>0.06</v>
      </c>
      <c r="P139" s="62">
        <v>0</v>
      </c>
      <c r="Q139" s="62">
        <v>0.12</v>
      </c>
      <c r="R139" s="62">
        <v>0</v>
      </c>
      <c r="S139" s="62">
        <v>0.06</v>
      </c>
      <c r="T139" s="62">
        <v>0.06</v>
      </c>
      <c r="U139" s="62">
        <v>14.33</v>
      </c>
      <c r="V139" s="62">
        <v>0</v>
      </c>
      <c r="W139" s="89">
        <v>2.25</v>
      </c>
      <c r="X139" s="62">
        <v>0</v>
      </c>
      <c r="Y139" s="36"/>
      <c r="Z139" s="110"/>
      <c r="AA139" s="110"/>
      <c r="AB139" s="110"/>
      <c r="AC139" s="110"/>
      <c r="AD139" s="30"/>
      <c r="AE139" s="30"/>
    </row>
    <row r="140" spans="1:31" ht="15" customHeight="1">
      <c r="A140" s="130" t="s">
        <v>18</v>
      </c>
      <c r="B140" s="17" t="s">
        <v>92</v>
      </c>
      <c r="C140" s="18" t="s">
        <v>68</v>
      </c>
      <c r="D140" s="18" t="s">
        <v>97</v>
      </c>
      <c r="E140" s="19">
        <v>2.84</v>
      </c>
      <c r="F140" s="19">
        <v>2.18</v>
      </c>
      <c r="G140" s="19">
        <f>H140*130/100</f>
        <v>3.4189999999999996</v>
      </c>
      <c r="H140" s="19">
        <v>2.63</v>
      </c>
      <c r="I140" s="19">
        <f>J140*130/100</f>
        <v>3.4189999999999996</v>
      </c>
      <c r="J140" s="20">
        <v>2.63</v>
      </c>
      <c r="K140" s="19">
        <f>L140*130/100</f>
        <v>21.008000000000003</v>
      </c>
      <c r="L140" s="20">
        <v>16.16</v>
      </c>
      <c r="M140" s="19">
        <f>N140*130/100</f>
        <v>128.44</v>
      </c>
      <c r="N140" s="20">
        <v>98.8</v>
      </c>
      <c r="O140" s="19">
        <f>P140*130/100</f>
        <v>0.11699999999999999</v>
      </c>
      <c r="P140" s="25">
        <v>0.09</v>
      </c>
      <c r="Q140" s="19">
        <f>R140*130/100</f>
        <v>0.039</v>
      </c>
      <c r="R140" s="25">
        <v>0.03</v>
      </c>
      <c r="S140" s="19">
        <f>T140*130/100</f>
        <v>0</v>
      </c>
      <c r="T140" s="25">
        <v>0</v>
      </c>
      <c r="U140" s="19">
        <f>V140*130/100</f>
        <v>1.5079999999999998</v>
      </c>
      <c r="V140" s="25">
        <v>1.16</v>
      </c>
      <c r="W140" s="19">
        <f>X140*130/100</f>
        <v>0.7020000000000001</v>
      </c>
      <c r="X140" s="25">
        <v>0.54</v>
      </c>
      <c r="Y140" s="37"/>
      <c r="Z140" s="37"/>
      <c r="AA140" s="37"/>
      <c r="AB140" s="37"/>
      <c r="AC140" s="37"/>
      <c r="AD140" s="32"/>
      <c r="AE140" s="32"/>
    </row>
    <row r="141" spans="1:31" ht="27" customHeight="1">
      <c r="A141" s="132" t="s">
        <v>122</v>
      </c>
      <c r="B141" s="38" t="s">
        <v>116</v>
      </c>
      <c r="C141" s="24">
        <v>200</v>
      </c>
      <c r="D141" s="24">
        <v>150</v>
      </c>
      <c r="E141" s="19">
        <v>1.62</v>
      </c>
      <c r="F141" s="19">
        <v>1.22</v>
      </c>
      <c r="G141" s="19">
        <v>0.6</v>
      </c>
      <c r="H141" s="20">
        <f>G141*150/200</f>
        <v>0.45</v>
      </c>
      <c r="I141" s="19">
        <v>0</v>
      </c>
      <c r="J141" s="20">
        <f>I141*150/200</f>
        <v>0</v>
      </c>
      <c r="K141" s="19">
        <v>31.4</v>
      </c>
      <c r="L141" s="20">
        <f>K141*150/200</f>
        <v>23.55</v>
      </c>
      <c r="M141" s="19">
        <v>124</v>
      </c>
      <c r="N141" s="20">
        <f>M141*150/200</f>
        <v>93</v>
      </c>
      <c r="O141" s="20">
        <v>0.02</v>
      </c>
      <c r="P141" s="20">
        <f>O141*150/200</f>
        <v>0.015</v>
      </c>
      <c r="Q141" s="20">
        <v>0.03</v>
      </c>
      <c r="R141" s="20">
        <f>Q141*150/200</f>
        <v>0.0225</v>
      </c>
      <c r="S141" s="20">
        <v>0.45</v>
      </c>
      <c r="T141" s="20">
        <f>S141*150/200</f>
        <v>0.3375</v>
      </c>
      <c r="U141" s="20">
        <v>12.3</v>
      </c>
      <c r="V141" s="20">
        <f>U141*150/200</f>
        <v>9.225</v>
      </c>
      <c r="W141" s="39">
        <v>2</v>
      </c>
      <c r="X141" s="82">
        <f>W141*150/200</f>
        <v>1.5</v>
      </c>
      <c r="Y141" s="22"/>
      <c r="Z141" s="22"/>
      <c r="AA141" s="22"/>
      <c r="AB141" s="22"/>
      <c r="AC141" s="22"/>
      <c r="AD141" s="22"/>
      <c r="AE141" s="22"/>
    </row>
    <row r="142" spans="1:31" s="68" customFormat="1" ht="15" customHeight="1">
      <c r="A142" s="129"/>
      <c r="B142" s="59" t="s">
        <v>30</v>
      </c>
      <c r="C142" s="60" t="s">
        <v>31</v>
      </c>
      <c r="D142" s="60" t="s">
        <v>31</v>
      </c>
      <c r="E142" s="61">
        <v>1.11</v>
      </c>
      <c r="F142" s="61">
        <v>1.11</v>
      </c>
      <c r="G142" s="61">
        <v>1.6</v>
      </c>
      <c r="H142" s="61">
        <v>1.6</v>
      </c>
      <c r="I142" s="61">
        <v>0.4</v>
      </c>
      <c r="J142" s="61">
        <v>0.4</v>
      </c>
      <c r="K142" s="61">
        <v>10</v>
      </c>
      <c r="L142" s="61">
        <v>10</v>
      </c>
      <c r="M142" s="62">
        <v>54</v>
      </c>
      <c r="N142" s="62">
        <v>54</v>
      </c>
      <c r="O142" s="65">
        <v>0.04</v>
      </c>
      <c r="P142" s="66">
        <v>0.04</v>
      </c>
      <c r="Q142" s="65">
        <v>0.02</v>
      </c>
      <c r="R142" s="66">
        <v>0.02</v>
      </c>
      <c r="S142" s="65">
        <v>0</v>
      </c>
      <c r="T142" s="66">
        <v>0</v>
      </c>
      <c r="U142" s="65">
        <v>7.4</v>
      </c>
      <c r="V142" s="66">
        <v>7.4</v>
      </c>
      <c r="W142" s="65">
        <v>0.56</v>
      </c>
      <c r="X142" s="66">
        <v>0.56</v>
      </c>
      <c r="Y142" s="67"/>
      <c r="Z142" s="67"/>
      <c r="AA142" s="67"/>
      <c r="AB142" s="67"/>
      <c r="AC142" s="67"/>
      <c r="AD142" s="67"/>
      <c r="AE142" s="67"/>
    </row>
    <row r="143" spans="1:31" ht="15" customHeight="1">
      <c r="A143" s="129"/>
      <c r="B143" s="59" t="s">
        <v>32</v>
      </c>
      <c r="C143" s="60" t="s">
        <v>89</v>
      </c>
      <c r="D143" s="60" t="s">
        <v>90</v>
      </c>
      <c r="E143" s="61">
        <v>2.09</v>
      </c>
      <c r="F143" s="61">
        <v>1.83</v>
      </c>
      <c r="G143" s="61">
        <v>3.25</v>
      </c>
      <c r="H143" s="62">
        <v>2.84</v>
      </c>
      <c r="I143" s="62">
        <v>0.46</v>
      </c>
      <c r="J143" s="62">
        <f>I143*40.6/46</f>
        <v>0.406</v>
      </c>
      <c r="K143" s="62">
        <v>20.88</v>
      </c>
      <c r="L143" s="62">
        <v>18.27</v>
      </c>
      <c r="M143" s="62">
        <v>102.08</v>
      </c>
      <c r="N143" s="62">
        <v>89.32</v>
      </c>
      <c r="O143" s="63">
        <v>0.06</v>
      </c>
      <c r="P143" s="69">
        <v>0.04</v>
      </c>
      <c r="Q143" s="63">
        <v>0.04</v>
      </c>
      <c r="R143" s="69">
        <v>0.03</v>
      </c>
      <c r="S143" s="63">
        <v>0</v>
      </c>
      <c r="T143" s="62">
        <f>S143*40.6/46</f>
        <v>0</v>
      </c>
      <c r="U143" s="65">
        <v>17</v>
      </c>
      <c r="V143" s="66">
        <v>13.6</v>
      </c>
      <c r="W143" s="65">
        <v>1.15</v>
      </c>
      <c r="X143" s="66">
        <v>0.92</v>
      </c>
      <c r="Y143" s="22"/>
      <c r="Z143" s="22"/>
      <c r="AA143" s="22"/>
      <c r="AB143" s="22"/>
      <c r="AC143" s="22"/>
      <c r="AD143" s="22"/>
      <c r="AE143" s="22"/>
    </row>
    <row r="144" spans="1:32" ht="15" customHeight="1">
      <c r="A144" s="16"/>
      <c r="B144" s="17" t="s">
        <v>23</v>
      </c>
      <c r="C144" s="18"/>
      <c r="D144" s="18"/>
      <c r="E144" s="28">
        <f>SUM(E137:E143)</f>
        <v>50.599999999999994</v>
      </c>
      <c r="F144" s="28">
        <f>SUM(F137:F143)</f>
        <v>47.64999999999999</v>
      </c>
      <c r="G144" s="28">
        <f>SUM(G137:G143)-7</f>
        <v>18.231222222222225</v>
      </c>
      <c r="H144" s="28">
        <f>SUM(H137:H143)-7</f>
        <v>16.41</v>
      </c>
      <c r="I144" s="28">
        <f aca="true" t="shared" si="38" ref="I144:R144">SUM(I137:I143)</f>
        <v>17.933444444444444</v>
      </c>
      <c r="J144" s="28">
        <f>SUM(J137:J143)-5</f>
        <v>10.826</v>
      </c>
      <c r="K144" s="28">
        <f>SUM(K137:K143)+0</f>
        <v>100.12799999999999</v>
      </c>
      <c r="L144" s="28">
        <f t="shared" si="38"/>
        <v>81.98</v>
      </c>
      <c r="M144" s="28">
        <f>SUM(M137:M143)-0</f>
        <v>666.23</v>
      </c>
      <c r="N144" s="28">
        <f>SUM(N137:N143)-42</f>
        <v>526.19</v>
      </c>
      <c r="O144" s="28">
        <f t="shared" si="38"/>
        <v>0.407</v>
      </c>
      <c r="P144" s="28">
        <f t="shared" si="38"/>
        <v>0.27</v>
      </c>
      <c r="Q144" s="28">
        <f t="shared" si="38"/>
        <v>0.36899999999999994</v>
      </c>
      <c r="R144" s="28">
        <f t="shared" si="38"/>
        <v>0.19749999999999998</v>
      </c>
      <c r="S144" s="28">
        <f>SUM(S137:S143)-7</f>
        <v>21.02</v>
      </c>
      <c r="T144" s="28">
        <f>SUM(T137:T143)-5</f>
        <v>18.9275</v>
      </c>
      <c r="U144" s="28">
        <f aca="true" t="shared" si="39" ref="U144:AB144">SUM(U137:U143)</f>
        <v>100.578</v>
      </c>
      <c r="V144" s="28">
        <f t="shared" si="39"/>
        <v>66.375</v>
      </c>
      <c r="W144" s="28">
        <f t="shared" si="39"/>
        <v>8.892000000000001</v>
      </c>
      <c r="X144" s="28">
        <f t="shared" si="39"/>
        <v>5.390000000000001</v>
      </c>
      <c r="Y144" s="28">
        <f t="shared" si="39"/>
        <v>0</v>
      </c>
      <c r="Z144" s="28">
        <f t="shared" si="39"/>
        <v>0</v>
      </c>
      <c r="AA144" s="28">
        <f t="shared" si="39"/>
        <v>0</v>
      </c>
      <c r="AB144" s="28">
        <f t="shared" si="39"/>
        <v>0</v>
      </c>
      <c r="AC144" s="80"/>
      <c r="AD144" s="22"/>
      <c r="AE144" s="22"/>
      <c r="AF144" s="22"/>
    </row>
    <row r="145" spans="1:32" ht="15" customHeight="1">
      <c r="A145" s="16"/>
      <c r="B145" s="95" t="s">
        <v>33</v>
      </c>
      <c r="C145" s="18"/>
      <c r="D145" s="18"/>
      <c r="E145" s="19"/>
      <c r="F145" s="19"/>
      <c r="G145" s="19"/>
      <c r="H145" s="20"/>
      <c r="I145" s="20"/>
      <c r="J145" s="20"/>
      <c r="K145" s="20"/>
      <c r="L145" s="20"/>
      <c r="M145" s="20"/>
      <c r="N145" s="20"/>
      <c r="O145" s="29"/>
      <c r="P145" s="29"/>
      <c r="Q145" s="29"/>
      <c r="R145" s="29"/>
      <c r="S145" s="29"/>
      <c r="T145" s="29"/>
      <c r="U145" s="29"/>
      <c r="V145" s="29"/>
      <c r="W145" s="29"/>
      <c r="X145" s="84"/>
      <c r="Y145" s="22"/>
      <c r="Z145" s="37"/>
      <c r="AA145" s="37"/>
      <c r="AB145" s="37"/>
      <c r="AC145" s="22"/>
      <c r="AD145" s="22"/>
      <c r="AE145" s="22"/>
      <c r="AF145" s="22"/>
    </row>
    <row r="146" spans="1:30" ht="26.25" customHeight="1">
      <c r="A146" s="129" t="s">
        <v>34</v>
      </c>
      <c r="B146" s="59" t="s">
        <v>175</v>
      </c>
      <c r="C146" s="60" t="s">
        <v>176</v>
      </c>
      <c r="D146" s="60" t="s">
        <v>176</v>
      </c>
      <c r="E146" s="61">
        <v>11.76</v>
      </c>
      <c r="F146" s="61">
        <v>11.76</v>
      </c>
      <c r="G146" s="145">
        <v>6.5</v>
      </c>
      <c r="H146" s="62">
        <v>6.5</v>
      </c>
      <c r="I146" s="145">
        <v>6.88</v>
      </c>
      <c r="J146" s="62">
        <v>6.88</v>
      </c>
      <c r="K146" s="145">
        <v>20.64</v>
      </c>
      <c r="L146" s="62">
        <v>20.64</v>
      </c>
      <c r="M146" s="145">
        <v>170.48</v>
      </c>
      <c r="N146" s="62">
        <v>170.48</v>
      </c>
      <c r="O146" s="145">
        <v>0.1</v>
      </c>
      <c r="P146" s="62">
        <f>O146*215/230</f>
        <v>0.09347826086956522</v>
      </c>
      <c r="Q146" s="145">
        <v>0.29</v>
      </c>
      <c r="R146" s="62">
        <f>Q146*215/230</f>
        <v>0.2710869565217391</v>
      </c>
      <c r="S146" s="145">
        <v>2.46</v>
      </c>
      <c r="T146" s="62">
        <v>2.46</v>
      </c>
      <c r="U146" s="61">
        <v>275.74</v>
      </c>
      <c r="V146" s="62">
        <v>275.74</v>
      </c>
      <c r="W146" s="61">
        <v>0.23</v>
      </c>
      <c r="X146" s="89">
        <v>0.23</v>
      </c>
      <c r="Y146" s="87"/>
      <c r="Z146" s="37"/>
      <c r="AA146" s="37"/>
      <c r="AB146" s="37"/>
      <c r="AC146" s="37"/>
      <c r="AD146" s="32"/>
    </row>
    <row r="147" spans="1:32" ht="15" customHeight="1">
      <c r="A147" s="16"/>
      <c r="B147" s="17" t="s">
        <v>23</v>
      </c>
      <c r="C147" s="18"/>
      <c r="D147" s="18"/>
      <c r="E147" s="28">
        <f>SUM(E146)</f>
        <v>11.76</v>
      </c>
      <c r="F147" s="28">
        <f>SUM(F146)</f>
        <v>11.76</v>
      </c>
      <c r="G147" s="28">
        <f aca="true" t="shared" si="40" ref="G147:T147">SUM(G146)</f>
        <v>6.5</v>
      </c>
      <c r="H147" s="28">
        <f t="shared" si="40"/>
        <v>6.5</v>
      </c>
      <c r="I147" s="28">
        <f t="shared" si="40"/>
        <v>6.88</v>
      </c>
      <c r="J147" s="28">
        <f t="shared" si="40"/>
        <v>6.88</v>
      </c>
      <c r="K147" s="28">
        <f t="shared" si="40"/>
        <v>20.64</v>
      </c>
      <c r="L147" s="28">
        <f t="shared" si="40"/>
        <v>20.64</v>
      </c>
      <c r="M147" s="28">
        <f t="shared" si="40"/>
        <v>170.48</v>
      </c>
      <c r="N147" s="28">
        <f t="shared" si="40"/>
        <v>170.48</v>
      </c>
      <c r="O147" s="28">
        <f t="shared" si="40"/>
        <v>0.1</v>
      </c>
      <c r="P147" s="28">
        <f t="shared" si="40"/>
        <v>0.09347826086956522</v>
      </c>
      <c r="Q147" s="28">
        <f t="shared" si="40"/>
        <v>0.29</v>
      </c>
      <c r="R147" s="28">
        <f t="shared" si="40"/>
        <v>0.2710869565217391</v>
      </c>
      <c r="S147" s="28">
        <f>SUM(S146)</f>
        <v>2.46</v>
      </c>
      <c r="T147" s="28">
        <f t="shared" si="40"/>
        <v>2.46</v>
      </c>
      <c r="U147" s="28">
        <f>SUM(U146)</f>
        <v>275.74</v>
      </c>
      <c r="V147" s="28">
        <f>SUM(V146)</f>
        <v>275.74</v>
      </c>
      <c r="W147" s="28">
        <f>SUM(W146)</f>
        <v>0.23</v>
      </c>
      <c r="X147" s="83">
        <f>SUM(X146)</f>
        <v>0.23</v>
      </c>
      <c r="Y147" s="80"/>
      <c r="Z147" s="80"/>
      <c r="AA147" s="80"/>
      <c r="AB147" s="80"/>
      <c r="AC147" s="80"/>
      <c r="AD147" s="80"/>
      <c r="AE147" s="22"/>
      <c r="AF147" s="22"/>
    </row>
    <row r="148" spans="1:32" ht="15" customHeight="1">
      <c r="A148" s="16"/>
      <c r="B148" s="95" t="s">
        <v>36</v>
      </c>
      <c r="C148" s="18"/>
      <c r="D148" s="18"/>
      <c r="E148" s="34"/>
      <c r="F148" s="34"/>
      <c r="G148" s="19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82"/>
      <c r="Y148" s="37"/>
      <c r="Z148" s="37"/>
      <c r="AA148" s="37"/>
      <c r="AB148" s="37"/>
      <c r="AC148" s="37"/>
      <c r="AD148" s="22"/>
      <c r="AE148" s="22"/>
      <c r="AF148" s="22"/>
    </row>
    <row r="149" spans="1:33" ht="15" customHeight="1">
      <c r="A149" s="130"/>
      <c r="B149" s="17" t="s">
        <v>145</v>
      </c>
      <c r="C149" s="18" t="s">
        <v>139</v>
      </c>
      <c r="D149" s="18" t="s">
        <v>203</v>
      </c>
      <c r="E149" s="19">
        <v>14.95</v>
      </c>
      <c r="F149" s="19">
        <v>14.25</v>
      </c>
      <c r="G149" s="19">
        <v>2.28</v>
      </c>
      <c r="H149" s="20">
        <v>2.17</v>
      </c>
      <c r="I149" s="19">
        <v>0</v>
      </c>
      <c r="J149" s="20">
        <v>0</v>
      </c>
      <c r="K149" s="19">
        <v>13.78</v>
      </c>
      <c r="L149" s="20">
        <v>13.13</v>
      </c>
      <c r="M149" s="19">
        <v>73.1</v>
      </c>
      <c r="N149" s="20">
        <v>69.66</v>
      </c>
      <c r="O149" s="19">
        <v>0.02</v>
      </c>
      <c r="P149" s="20">
        <v>0.02</v>
      </c>
      <c r="Q149" s="19">
        <f>R149*160/150</f>
        <v>0.05333333333333334</v>
      </c>
      <c r="R149" s="20">
        <v>0.05</v>
      </c>
      <c r="S149" s="19">
        <v>26.07</v>
      </c>
      <c r="T149" s="20">
        <v>24.84</v>
      </c>
      <c r="U149" s="19">
        <v>24</v>
      </c>
      <c r="V149" s="20">
        <v>24</v>
      </c>
      <c r="W149" s="19">
        <v>3.3</v>
      </c>
      <c r="X149" s="39">
        <v>3.3</v>
      </c>
      <c r="Y149" s="88"/>
      <c r="Z149" s="37"/>
      <c r="AA149" s="37"/>
      <c r="AB149" s="37"/>
      <c r="AC149" s="22"/>
      <c r="AD149" s="22"/>
      <c r="AE149" s="22"/>
      <c r="AF149" s="22"/>
      <c r="AG149" s="22"/>
    </row>
    <row r="150" spans="1:29" s="36" customFormat="1" ht="25.5" customHeight="1">
      <c r="A150" s="129" t="s">
        <v>119</v>
      </c>
      <c r="B150" s="59" t="s">
        <v>120</v>
      </c>
      <c r="C150" s="60" t="s">
        <v>104</v>
      </c>
      <c r="D150" s="60" t="s">
        <v>74</v>
      </c>
      <c r="E150" s="61">
        <v>13.33</v>
      </c>
      <c r="F150" s="61">
        <v>10.28</v>
      </c>
      <c r="G150" s="61">
        <v>6.12</v>
      </c>
      <c r="H150" s="62">
        <v>4.8</v>
      </c>
      <c r="I150" s="61">
        <v>16.41</v>
      </c>
      <c r="J150" s="62">
        <v>14</v>
      </c>
      <c r="K150" s="61">
        <v>27.9</v>
      </c>
      <c r="L150" s="62">
        <v>20.1</v>
      </c>
      <c r="M150" s="61">
        <v>283.77</v>
      </c>
      <c r="N150" s="62">
        <v>225.6</v>
      </c>
      <c r="O150" s="62">
        <v>0.2</v>
      </c>
      <c r="P150" s="62">
        <v>0.14</v>
      </c>
      <c r="Q150" s="62">
        <v>0.13</v>
      </c>
      <c r="R150" s="62">
        <v>0.1</v>
      </c>
      <c r="S150" s="61">
        <v>13.5</v>
      </c>
      <c r="T150" s="62">
        <v>11.2</v>
      </c>
      <c r="U150" s="62">
        <v>95.29</v>
      </c>
      <c r="V150" s="62">
        <v>73.98</v>
      </c>
      <c r="W150" s="62">
        <v>2.33</v>
      </c>
      <c r="X150" s="89">
        <v>1.57</v>
      </c>
      <c r="Y150" s="112"/>
      <c r="Z150" s="110"/>
      <c r="AA150" s="110"/>
      <c r="AB150" s="110"/>
      <c r="AC150" s="110"/>
    </row>
    <row r="151" spans="1:31" ht="15" customHeight="1">
      <c r="A151" s="130" t="s">
        <v>105</v>
      </c>
      <c r="B151" s="23" t="s">
        <v>106</v>
      </c>
      <c r="C151" s="18" t="s">
        <v>21</v>
      </c>
      <c r="D151" s="18" t="s">
        <v>22</v>
      </c>
      <c r="E151" s="19">
        <v>0.55</v>
      </c>
      <c r="F151" s="19">
        <v>0.41</v>
      </c>
      <c r="G151" s="19">
        <v>0.18</v>
      </c>
      <c r="H151" s="20">
        <v>0.13</v>
      </c>
      <c r="I151" s="19">
        <f>J151*200/150</f>
        <v>0</v>
      </c>
      <c r="J151" s="20">
        <v>0</v>
      </c>
      <c r="K151" s="19">
        <v>4.78</v>
      </c>
      <c r="L151" s="20">
        <v>3.58</v>
      </c>
      <c r="M151" s="19">
        <v>19.9</v>
      </c>
      <c r="N151" s="20">
        <v>14.92</v>
      </c>
      <c r="O151" s="19">
        <f>P151*200/150</f>
        <v>0.013333333333333334</v>
      </c>
      <c r="P151" s="29">
        <v>0.01</v>
      </c>
      <c r="Q151" s="19">
        <f>R151*200/150</f>
        <v>0.013333333333333334</v>
      </c>
      <c r="R151" s="29">
        <v>0.01</v>
      </c>
      <c r="S151" s="19">
        <v>0.04</v>
      </c>
      <c r="T151" s="29">
        <v>0.03</v>
      </c>
      <c r="U151" s="19">
        <f>V151*200/150</f>
        <v>5.053333333333334</v>
      </c>
      <c r="V151" s="29">
        <v>3.79</v>
      </c>
      <c r="W151" s="19">
        <f>X151*200/150</f>
        <v>0.84</v>
      </c>
      <c r="X151" s="84">
        <v>0.63</v>
      </c>
      <c r="Y151" s="22"/>
      <c r="Z151" s="22"/>
      <c r="AA151" s="22"/>
      <c r="AB151" s="22"/>
      <c r="AC151" s="22"/>
      <c r="AD151" s="22"/>
      <c r="AE151" s="22"/>
    </row>
    <row r="152" spans="1:31" s="68" customFormat="1" ht="15" customHeight="1">
      <c r="A152" s="129"/>
      <c r="B152" s="59" t="s">
        <v>30</v>
      </c>
      <c r="C152" s="60" t="s">
        <v>31</v>
      </c>
      <c r="D152" s="60" t="s">
        <v>31</v>
      </c>
      <c r="E152" s="61">
        <v>1.11</v>
      </c>
      <c r="F152" s="61">
        <v>1.11</v>
      </c>
      <c r="G152" s="61">
        <v>1.6</v>
      </c>
      <c r="H152" s="61">
        <v>1.6</v>
      </c>
      <c r="I152" s="61">
        <v>0.4</v>
      </c>
      <c r="J152" s="61">
        <v>0.4</v>
      </c>
      <c r="K152" s="61">
        <v>10</v>
      </c>
      <c r="L152" s="61">
        <v>10</v>
      </c>
      <c r="M152" s="62">
        <v>54</v>
      </c>
      <c r="N152" s="62">
        <v>54</v>
      </c>
      <c r="O152" s="65">
        <v>0.04</v>
      </c>
      <c r="P152" s="66">
        <v>0.04</v>
      </c>
      <c r="Q152" s="65">
        <v>0.02</v>
      </c>
      <c r="R152" s="66">
        <v>0.02</v>
      </c>
      <c r="S152" s="65">
        <v>0</v>
      </c>
      <c r="T152" s="66">
        <v>0</v>
      </c>
      <c r="U152" s="65">
        <v>7.4</v>
      </c>
      <c r="V152" s="66">
        <v>7.4</v>
      </c>
      <c r="W152" s="65">
        <v>0.56</v>
      </c>
      <c r="X152" s="66">
        <v>0.56</v>
      </c>
      <c r="Y152" s="67"/>
      <c r="Z152" s="67"/>
      <c r="AA152" s="67"/>
      <c r="AB152" s="67"/>
      <c r="AC152" s="67"/>
      <c r="AD152" s="67"/>
      <c r="AE152" s="67"/>
    </row>
    <row r="153" spans="1:32" ht="15" customHeight="1">
      <c r="A153" s="16"/>
      <c r="B153" s="17" t="s">
        <v>23</v>
      </c>
      <c r="C153" s="18"/>
      <c r="D153" s="19"/>
      <c r="E153" s="28">
        <f>SUM(E149:E152)</f>
        <v>29.94</v>
      </c>
      <c r="F153" s="28">
        <f>SUM(F149:F152)</f>
        <v>26.05</v>
      </c>
      <c r="G153" s="28">
        <f aca="true" t="shared" si="41" ref="G153:T153">SUM(G149:G152)</f>
        <v>10.18</v>
      </c>
      <c r="H153" s="28">
        <f t="shared" si="41"/>
        <v>8.7</v>
      </c>
      <c r="I153" s="28">
        <f t="shared" si="41"/>
        <v>16.81</v>
      </c>
      <c r="J153" s="28">
        <f t="shared" si="41"/>
        <v>14.4</v>
      </c>
      <c r="K153" s="28">
        <f t="shared" si="41"/>
        <v>56.46</v>
      </c>
      <c r="L153" s="28">
        <f t="shared" si="41"/>
        <v>46.81</v>
      </c>
      <c r="M153" s="28">
        <f t="shared" si="41"/>
        <v>430.77</v>
      </c>
      <c r="N153" s="28">
        <f t="shared" si="41"/>
        <v>364.18</v>
      </c>
      <c r="O153" s="28">
        <f t="shared" si="41"/>
        <v>0.2733333333333333</v>
      </c>
      <c r="P153" s="28">
        <f t="shared" si="41"/>
        <v>0.21000000000000002</v>
      </c>
      <c r="Q153" s="28">
        <f t="shared" si="41"/>
        <v>0.21666666666666667</v>
      </c>
      <c r="R153" s="28">
        <f t="shared" si="41"/>
        <v>0.18000000000000002</v>
      </c>
      <c r="S153" s="28">
        <f t="shared" si="41"/>
        <v>39.61</v>
      </c>
      <c r="T153" s="28">
        <f t="shared" si="41"/>
        <v>36.07</v>
      </c>
      <c r="U153" s="28">
        <f aca="true" t="shared" si="42" ref="U153:AB153">SUM(U149:U152)</f>
        <v>131.74333333333334</v>
      </c>
      <c r="V153" s="28">
        <f t="shared" si="42"/>
        <v>109.17000000000002</v>
      </c>
      <c r="W153" s="28">
        <f t="shared" si="42"/>
        <v>7.029999999999999</v>
      </c>
      <c r="X153" s="28">
        <f t="shared" si="42"/>
        <v>6.0600000000000005</v>
      </c>
      <c r="Y153" s="28">
        <f t="shared" si="42"/>
        <v>0</v>
      </c>
      <c r="Z153" s="28">
        <f t="shared" si="42"/>
        <v>0</v>
      </c>
      <c r="AA153" s="28">
        <f t="shared" si="42"/>
        <v>0</v>
      </c>
      <c r="AB153" s="28">
        <f t="shared" si="42"/>
        <v>0</v>
      </c>
      <c r="AC153" s="80"/>
      <c r="AD153" s="80"/>
      <c r="AE153" s="80"/>
      <c r="AF153" s="22"/>
    </row>
    <row r="154" spans="1:32" ht="15" customHeight="1">
      <c r="A154" s="16"/>
      <c r="B154" s="17" t="s">
        <v>37</v>
      </c>
      <c r="C154" s="18"/>
      <c r="D154" s="18"/>
      <c r="E154" s="28">
        <f>E153+E147+E144+E135+E132</f>
        <v>121.42999999999999</v>
      </c>
      <c r="F154" s="28">
        <f>F153+F147+F144+F135+F132</f>
        <v>111.08</v>
      </c>
      <c r="G154" s="28">
        <f aca="true" t="shared" si="43" ref="G154:T154">G153+G147+G144+G135+G132</f>
        <v>50.19122222222222</v>
      </c>
      <c r="H154" s="28">
        <f t="shared" si="43"/>
        <v>45</v>
      </c>
      <c r="I154" s="28">
        <f t="shared" si="43"/>
        <v>59.32344444444445</v>
      </c>
      <c r="J154" s="28">
        <f t="shared" si="43"/>
        <v>47.96600000000001</v>
      </c>
      <c r="K154" s="28">
        <f t="shared" si="43"/>
        <v>236.048</v>
      </c>
      <c r="L154" s="28">
        <f t="shared" si="43"/>
        <v>199.75</v>
      </c>
      <c r="M154" s="28">
        <f t="shared" si="43"/>
        <v>1720.4199999999998</v>
      </c>
      <c r="N154" s="28">
        <f t="shared" si="43"/>
        <v>1455.6499999999999</v>
      </c>
      <c r="O154" s="28">
        <f t="shared" si="43"/>
        <v>1.0043333333333333</v>
      </c>
      <c r="P154" s="28">
        <f t="shared" si="43"/>
        <v>0.7384782608695653</v>
      </c>
      <c r="Q154" s="28">
        <f t="shared" si="43"/>
        <v>1.4976666666666667</v>
      </c>
      <c r="R154" s="28">
        <f t="shared" si="43"/>
        <v>1.1410869565217392</v>
      </c>
      <c r="S154" s="28">
        <f t="shared" si="43"/>
        <v>68.82000000000001</v>
      </c>
      <c r="T154" s="28">
        <f t="shared" si="43"/>
        <v>62.72749999999999</v>
      </c>
      <c r="U154" s="79">
        <f>U153+U147+U144+U135+U132</f>
        <v>991.6153333333332</v>
      </c>
      <c r="V154" s="28">
        <f>V153+V147+V144+V135+V132</f>
        <v>841.0916666666667</v>
      </c>
      <c r="W154" s="28">
        <f>W153+W147+W144+W135+W132</f>
        <v>17.862000000000002</v>
      </c>
      <c r="X154" s="83">
        <f>X153+X147+X144+X135+X132</f>
        <v>12.890833333333335</v>
      </c>
      <c r="Y154" s="80"/>
      <c r="Z154" s="80"/>
      <c r="AA154" s="80"/>
      <c r="AB154" s="80"/>
      <c r="AC154" s="80"/>
      <c r="AD154" s="22"/>
      <c r="AE154" s="22"/>
      <c r="AF154" s="22"/>
    </row>
    <row r="155" spans="25:29" ht="15" customHeight="1">
      <c r="Y155" s="21"/>
      <c r="Z155" s="37"/>
      <c r="AA155" s="37"/>
      <c r="AB155" s="37"/>
      <c r="AC155" s="22"/>
    </row>
    <row r="156" spans="2:29" ht="15" customHeight="1">
      <c r="B156" s="42"/>
      <c r="C156" s="43"/>
      <c r="D156" s="43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21"/>
      <c r="Z156" s="37"/>
      <c r="AA156" s="37"/>
      <c r="AB156" s="37"/>
      <c r="AC156" s="22"/>
    </row>
    <row r="157" spans="2:29" ht="15" customHeight="1">
      <c r="B157" s="42"/>
      <c r="C157" s="43"/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21"/>
      <c r="Z157" s="37"/>
      <c r="AA157" s="37"/>
      <c r="AB157" s="37"/>
      <c r="AC157" s="22"/>
    </row>
    <row r="158" spans="2:29" ht="15" customHeight="1">
      <c r="B158" s="42"/>
      <c r="C158" s="43"/>
      <c r="D158" s="4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21"/>
      <c r="Z158" s="37"/>
      <c r="AA158" s="37"/>
      <c r="AB158" s="37"/>
      <c r="AC158" s="22"/>
    </row>
    <row r="159" spans="2:29" ht="15" customHeight="1">
      <c r="B159" s="42"/>
      <c r="C159" s="43"/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21"/>
      <c r="Z159" s="37"/>
      <c r="AA159" s="37"/>
      <c r="AB159" s="37"/>
      <c r="AC159" s="22"/>
    </row>
    <row r="160" spans="1:29" s="68" customFormat="1" ht="24" customHeight="1">
      <c r="A160" s="1"/>
      <c r="B160" s="189"/>
      <c r="C160" s="189"/>
      <c r="D160" s="189"/>
      <c r="E160" s="182" t="s">
        <v>4</v>
      </c>
      <c r="F160" s="182"/>
      <c r="G160" s="182" t="s">
        <v>5</v>
      </c>
      <c r="H160" s="182"/>
      <c r="I160" s="182"/>
      <c r="J160" s="182"/>
      <c r="K160" s="182"/>
      <c r="L160" s="182"/>
      <c r="M160" s="190" t="s">
        <v>6</v>
      </c>
      <c r="N160" s="190"/>
      <c r="O160" s="187" t="s">
        <v>7</v>
      </c>
      <c r="P160" s="187"/>
      <c r="Q160" s="187"/>
      <c r="R160" s="187"/>
      <c r="S160" s="187"/>
      <c r="T160" s="187"/>
      <c r="U160" s="188" t="s">
        <v>8</v>
      </c>
      <c r="V160" s="188"/>
      <c r="W160" s="188"/>
      <c r="X160" s="188"/>
      <c r="Y160" s="97"/>
      <c r="Z160" s="103"/>
      <c r="AA160" s="103"/>
      <c r="AB160" s="103"/>
      <c r="AC160" s="67"/>
    </row>
    <row r="161" spans="1:29" s="68" customFormat="1" ht="15" customHeight="1">
      <c r="A161" s="1"/>
      <c r="B161" s="189"/>
      <c r="C161" s="189"/>
      <c r="D161" s="189"/>
      <c r="E161" s="182"/>
      <c r="F161" s="182"/>
      <c r="G161" s="182" t="s">
        <v>9</v>
      </c>
      <c r="H161" s="182"/>
      <c r="I161" s="182" t="s">
        <v>10</v>
      </c>
      <c r="J161" s="182"/>
      <c r="K161" s="182" t="s">
        <v>11</v>
      </c>
      <c r="L161" s="182"/>
      <c r="M161" s="190"/>
      <c r="N161" s="190"/>
      <c r="O161" s="183" t="s">
        <v>79</v>
      </c>
      <c r="P161" s="183"/>
      <c r="Q161" s="183" t="s">
        <v>61</v>
      </c>
      <c r="R161" s="183"/>
      <c r="S161" s="183" t="s">
        <v>12</v>
      </c>
      <c r="T161" s="183"/>
      <c r="U161" s="183" t="s">
        <v>13</v>
      </c>
      <c r="V161" s="183"/>
      <c r="W161" s="180" t="s">
        <v>14</v>
      </c>
      <c r="X161" s="180"/>
      <c r="Y161" s="97"/>
      <c r="Z161" s="103"/>
      <c r="AA161" s="103"/>
      <c r="AB161" s="103"/>
      <c r="AC161" s="67"/>
    </row>
    <row r="162" spans="1:29" s="68" customFormat="1" ht="15" customHeight="1">
      <c r="A162" s="1"/>
      <c r="B162" s="189"/>
      <c r="C162" s="189"/>
      <c r="D162" s="189"/>
      <c r="E162" s="98" t="s">
        <v>15</v>
      </c>
      <c r="F162" s="98" t="s">
        <v>16</v>
      </c>
      <c r="G162" s="98" t="s">
        <v>15</v>
      </c>
      <c r="H162" s="98" t="s">
        <v>16</v>
      </c>
      <c r="I162" s="98" t="s">
        <v>15</v>
      </c>
      <c r="J162" s="98" t="s">
        <v>16</v>
      </c>
      <c r="K162" s="98" t="s">
        <v>15</v>
      </c>
      <c r="L162" s="98" t="s">
        <v>16</v>
      </c>
      <c r="M162" s="98" t="s">
        <v>15</v>
      </c>
      <c r="N162" s="98" t="s">
        <v>16</v>
      </c>
      <c r="O162" s="98" t="s">
        <v>15</v>
      </c>
      <c r="P162" s="98" t="s">
        <v>16</v>
      </c>
      <c r="Q162" s="98" t="s">
        <v>15</v>
      </c>
      <c r="R162" s="98" t="s">
        <v>16</v>
      </c>
      <c r="S162" s="98" t="s">
        <v>15</v>
      </c>
      <c r="T162" s="98" t="s">
        <v>16</v>
      </c>
      <c r="U162" s="98" t="s">
        <v>15</v>
      </c>
      <c r="V162" s="98" t="s">
        <v>16</v>
      </c>
      <c r="W162" s="98" t="s">
        <v>15</v>
      </c>
      <c r="X162" s="99" t="s">
        <v>16</v>
      </c>
      <c r="Y162" s="97"/>
      <c r="Z162" s="103"/>
      <c r="AA162" s="103"/>
      <c r="AB162" s="103"/>
      <c r="AC162" s="67"/>
    </row>
    <row r="163" spans="1:29" s="68" customFormat="1" ht="15" customHeight="1">
      <c r="A163" s="1"/>
      <c r="B163" s="181" t="s">
        <v>53</v>
      </c>
      <c r="C163" s="181"/>
      <c r="D163" s="181"/>
      <c r="E163" s="20">
        <f>E154+E126+E98+E68+E38</f>
        <v>608.19</v>
      </c>
      <c r="F163" s="20">
        <f>F154+F126+F98+F68+F38</f>
        <v>537.37</v>
      </c>
      <c r="G163" s="100">
        <f>G154-13+G126+G98+G68+G38</f>
        <v>282.1912222222222</v>
      </c>
      <c r="H163" s="100">
        <f>H154-40.5+H126+H98+H68+H38</f>
        <v>219.34000000000003</v>
      </c>
      <c r="I163" s="100">
        <f>I154-0+I126+I98+I68+I38</f>
        <v>300.04344444444445</v>
      </c>
      <c r="J163" s="100">
        <f>J154-8+J126+J98+J68+J38</f>
        <v>245.22983333333332</v>
      </c>
      <c r="K163" s="100">
        <f>K154+K126+K98+K68+K38</f>
        <v>1270.598</v>
      </c>
      <c r="L163" s="100">
        <f>L154+L126+L98+L68+L38</f>
        <v>1047.6316666666667</v>
      </c>
      <c r="M163" s="100">
        <f>M154+M126+M98+M68+M38</f>
        <v>8990.49</v>
      </c>
      <c r="N163" s="100">
        <v>7314.4</v>
      </c>
      <c r="O163" s="20">
        <f>O154+O126+O98+O68+O38</f>
        <v>4.99</v>
      </c>
      <c r="P163" s="20">
        <f>P154+P126+P98+P68+P38</f>
        <v>3.91131822386679</v>
      </c>
      <c r="Q163" s="20">
        <f>Q154+Q126+Q98+Q68+Q38</f>
        <v>6.791333333333333</v>
      </c>
      <c r="R163" s="20">
        <f>R154+R126+R98+R68+R38</f>
        <v>5.732829941412272</v>
      </c>
      <c r="S163" s="20">
        <f>S154-10+S126+S98+S68+S38</f>
        <v>261.59</v>
      </c>
      <c r="T163" s="20">
        <f>T154-9+T126+T98+T68+T38</f>
        <v>234.70566666666664</v>
      </c>
      <c r="U163" s="100" t="e">
        <f>U154+U126+U98+U68+U38</f>
        <v>#REF!</v>
      </c>
      <c r="V163" s="100" t="e">
        <f>V154+V126+V98+V68+V38</f>
        <v>#REF!</v>
      </c>
      <c r="W163" s="20" t="e">
        <f>W154+W126+W98+W68+W38</f>
        <v>#REF!</v>
      </c>
      <c r="X163" s="101" t="e">
        <f>X154+X126+X98+X68+X38</f>
        <v>#REF!</v>
      </c>
      <c r="Y163" s="97"/>
      <c r="Z163" s="103"/>
      <c r="AA163" s="103"/>
      <c r="AB163" s="103"/>
      <c r="AC163" s="67"/>
    </row>
    <row r="164" spans="1:29" s="68" customFormat="1" ht="15" customHeight="1">
      <c r="A164" s="1"/>
      <c r="B164" s="184" t="s">
        <v>54</v>
      </c>
      <c r="C164" s="184"/>
      <c r="D164" s="184"/>
      <c r="E164" s="20">
        <f aca="true" t="shared" si="44" ref="E164:X164">E163/5</f>
        <v>121.638</v>
      </c>
      <c r="F164" s="20">
        <f t="shared" si="44"/>
        <v>107.474</v>
      </c>
      <c r="G164" s="20">
        <f t="shared" si="44"/>
        <v>56.43824444444444</v>
      </c>
      <c r="H164" s="20">
        <f t="shared" si="44"/>
        <v>43.86800000000001</v>
      </c>
      <c r="I164" s="20">
        <f t="shared" si="44"/>
        <v>60.00868888888889</v>
      </c>
      <c r="J164" s="20">
        <f t="shared" si="44"/>
        <v>49.045966666666665</v>
      </c>
      <c r="K164" s="20">
        <f t="shared" si="44"/>
        <v>254.1196</v>
      </c>
      <c r="L164" s="20">
        <f t="shared" si="44"/>
        <v>209.52633333333333</v>
      </c>
      <c r="M164" s="20">
        <f t="shared" si="44"/>
        <v>1798.098</v>
      </c>
      <c r="N164" s="20">
        <f t="shared" si="44"/>
        <v>1462.8799999999999</v>
      </c>
      <c r="O164" s="102">
        <f t="shared" si="44"/>
        <v>0.998</v>
      </c>
      <c r="P164" s="102">
        <f t="shared" si="44"/>
        <v>0.782263644773358</v>
      </c>
      <c r="Q164" s="102">
        <f t="shared" si="44"/>
        <v>1.3582666666666667</v>
      </c>
      <c r="R164" s="102">
        <f t="shared" si="44"/>
        <v>1.1465659882824544</v>
      </c>
      <c r="S164" s="20">
        <f t="shared" si="44"/>
        <v>52.318</v>
      </c>
      <c r="T164" s="20">
        <f t="shared" si="44"/>
        <v>46.941133333333326</v>
      </c>
      <c r="U164" s="20" t="e">
        <f t="shared" si="44"/>
        <v>#REF!</v>
      </c>
      <c r="V164" s="20" t="e">
        <f t="shared" si="44"/>
        <v>#REF!</v>
      </c>
      <c r="W164" s="39" t="e">
        <f t="shared" si="44"/>
        <v>#REF!</v>
      </c>
      <c r="X164" s="62" t="e">
        <f t="shared" si="44"/>
        <v>#REF!</v>
      </c>
      <c r="Y164" s="67"/>
      <c r="Z164" s="103"/>
      <c r="AA164" s="103"/>
      <c r="AB164" s="103"/>
      <c r="AC164" s="67"/>
    </row>
    <row r="165" spans="1:29" s="68" customFormat="1" ht="15" customHeight="1">
      <c r="A165" s="1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6"/>
      <c r="N165" s="47"/>
      <c r="X165" s="67"/>
      <c r="Y165" s="67"/>
      <c r="Z165" s="67"/>
      <c r="AA165" s="67"/>
      <c r="AB165" s="67"/>
      <c r="AC165" s="67"/>
    </row>
    <row r="166" spans="1:29" s="68" customFormat="1" ht="15" customHeight="1">
      <c r="A166" s="1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X166" s="67"/>
      <c r="Y166" s="67"/>
      <c r="Z166" s="67"/>
      <c r="AA166" s="67"/>
      <c r="AB166" s="67"/>
      <c r="AC166" s="67"/>
    </row>
    <row r="167" spans="1:29" s="68" customFormat="1" ht="15" customHeight="1">
      <c r="A167" s="1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X167" s="67"/>
      <c r="Y167" s="67"/>
      <c r="Z167" s="67"/>
      <c r="AA167" s="67"/>
      <c r="AB167" s="67"/>
      <c r="AC167" s="67"/>
    </row>
    <row r="168" spans="1:25" s="68" customFormat="1" ht="15" customHeight="1">
      <c r="A168" s="1"/>
      <c r="B168" s="48" t="s">
        <v>69</v>
      </c>
      <c r="C168" s="48"/>
      <c r="D168" s="48"/>
      <c r="E168" s="106"/>
      <c r="F168" s="106"/>
      <c r="G168" s="48"/>
      <c r="H168" s="48"/>
      <c r="I168" s="48"/>
      <c r="J168" s="48"/>
      <c r="K168" s="48"/>
      <c r="L168" s="48"/>
      <c r="X168" s="67"/>
      <c r="Y168" s="67"/>
    </row>
    <row r="169" spans="1:25" s="68" customFormat="1" ht="15" customHeight="1">
      <c r="A169" s="1"/>
      <c r="B169" s="48" t="s">
        <v>55</v>
      </c>
      <c r="C169" s="48"/>
      <c r="D169" s="48"/>
      <c r="E169" s="106"/>
      <c r="F169" s="106"/>
      <c r="G169" s="48"/>
      <c r="H169" s="48"/>
      <c r="I169" s="48"/>
      <c r="J169" s="48"/>
      <c r="K169" s="48"/>
      <c r="L169" s="48"/>
      <c r="X169" s="67"/>
      <c r="Y169" s="67"/>
    </row>
    <row r="170" spans="1:25" s="68" customFormat="1" ht="15" customHeight="1">
      <c r="A170" s="1"/>
      <c r="B170" s="48"/>
      <c r="C170" s="48"/>
      <c r="D170" s="48"/>
      <c r="E170" s="106"/>
      <c r="F170" s="106"/>
      <c r="G170" s="48"/>
      <c r="H170" s="48"/>
      <c r="I170" s="48"/>
      <c r="J170" s="48"/>
      <c r="K170" s="48"/>
      <c r="L170" s="48"/>
      <c r="X170" s="67"/>
      <c r="Y170" s="67"/>
    </row>
    <row r="171" spans="1:31" s="68" customFormat="1" ht="18" customHeight="1">
      <c r="A171" s="1"/>
      <c r="B171" s="185" t="s">
        <v>56</v>
      </c>
      <c r="C171" s="169" t="s">
        <v>57</v>
      </c>
      <c r="D171" s="170"/>
      <c r="E171" s="170"/>
      <c r="F171" s="171"/>
      <c r="G171" s="169" t="s">
        <v>58</v>
      </c>
      <c r="H171" s="171"/>
      <c r="I171" s="169" t="s">
        <v>59</v>
      </c>
      <c r="J171" s="171"/>
      <c r="K171" s="176" t="s">
        <v>60</v>
      </c>
      <c r="L171" s="177"/>
      <c r="M171" s="156" t="s">
        <v>7</v>
      </c>
      <c r="N171" s="175"/>
      <c r="O171" s="175"/>
      <c r="P171" s="175"/>
      <c r="Q171" s="175"/>
      <c r="R171" s="157"/>
      <c r="S171" s="71"/>
      <c r="T171" s="72"/>
      <c r="U171" s="72"/>
      <c r="V171" s="72"/>
      <c r="W171" s="72"/>
      <c r="X171" s="72"/>
      <c r="Y171" s="103"/>
      <c r="Z171" s="103"/>
      <c r="AA171" s="103"/>
      <c r="AB171" s="103"/>
      <c r="AC171" s="103"/>
      <c r="AD171" s="103"/>
      <c r="AE171" s="103"/>
    </row>
    <row r="172" spans="1:31" s="68" customFormat="1" ht="15" customHeight="1">
      <c r="A172" s="1"/>
      <c r="B172" s="186"/>
      <c r="C172" s="172"/>
      <c r="D172" s="173"/>
      <c r="E172" s="173"/>
      <c r="F172" s="174"/>
      <c r="G172" s="172"/>
      <c r="H172" s="174"/>
      <c r="I172" s="172"/>
      <c r="J172" s="174"/>
      <c r="K172" s="178"/>
      <c r="L172" s="179"/>
      <c r="M172" s="156" t="s">
        <v>12</v>
      </c>
      <c r="N172" s="157"/>
      <c r="O172" s="156" t="s">
        <v>61</v>
      </c>
      <c r="P172" s="157"/>
      <c r="Q172" s="156" t="s">
        <v>12</v>
      </c>
      <c r="R172" s="157"/>
      <c r="S172" s="71"/>
      <c r="T172" s="72"/>
      <c r="U172" s="72"/>
      <c r="V172" s="72"/>
      <c r="W172" s="72"/>
      <c r="X172" s="72"/>
      <c r="Y172" s="103"/>
      <c r="Z172" s="103"/>
      <c r="AA172" s="103"/>
      <c r="AB172" s="103"/>
      <c r="AC172" s="103"/>
      <c r="AD172" s="103"/>
      <c r="AE172" s="103"/>
    </row>
    <row r="173" spans="1:31" s="68" customFormat="1" ht="15" customHeight="1">
      <c r="A173" s="1"/>
      <c r="B173" s="73" t="s">
        <v>62</v>
      </c>
      <c r="C173" s="158" t="s">
        <v>126</v>
      </c>
      <c r="D173" s="159"/>
      <c r="E173" s="159"/>
      <c r="F173" s="160"/>
      <c r="G173" s="158" t="s">
        <v>127</v>
      </c>
      <c r="H173" s="160"/>
      <c r="I173" s="158" t="s">
        <v>128</v>
      </c>
      <c r="J173" s="160"/>
      <c r="K173" s="161" t="s">
        <v>129</v>
      </c>
      <c r="L173" s="162"/>
      <c r="M173" s="163" t="s">
        <v>77</v>
      </c>
      <c r="N173" s="164"/>
      <c r="O173" s="167">
        <v>1</v>
      </c>
      <c r="P173" s="168"/>
      <c r="Q173" s="167">
        <v>50</v>
      </c>
      <c r="R173" s="168"/>
      <c r="S173" s="74"/>
      <c r="T173" s="75"/>
      <c r="U173" s="75"/>
      <c r="V173" s="75"/>
      <c r="W173" s="75"/>
      <c r="X173" s="75"/>
      <c r="Y173" s="103"/>
      <c r="Z173" s="103"/>
      <c r="AA173" s="103"/>
      <c r="AB173" s="103"/>
      <c r="AC173" s="103"/>
      <c r="AD173" s="103"/>
      <c r="AE173" s="103"/>
    </row>
    <row r="174" spans="1:31" s="68" customFormat="1" ht="15" customHeight="1">
      <c r="A174" s="1"/>
      <c r="B174" s="73" t="s">
        <v>63</v>
      </c>
      <c r="C174" s="158" t="s">
        <v>130</v>
      </c>
      <c r="D174" s="159"/>
      <c r="E174" s="159"/>
      <c r="F174" s="160"/>
      <c r="G174" s="158" t="s">
        <v>131</v>
      </c>
      <c r="H174" s="160"/>
      <c r="I174" s="158" t="s">
        <v>132</v>
      </c>
      <c r="J174" s="160"/>
      <c r="K174" s="161" t="s">
        <v>133</v>
      </c>
      <c r="L174" s="162"/>
      <c r="M174" s="163" t="s">
        <v>78</v>
      </c>
      <c r="N174" s="164"/>
      <c r="O174" s="165">
        <v>0.9</v>
      </c>
      <c r="P174" s="166"/>
      <c r="Q174" s="167">
        <v>45</v>
      </c>
      <c r="R174" s="168"/>
      <c r="S174" s="74"/>
      <c r="T174" s="75"/>
      <c r="U174" s="75"/>
      <c r="V174" s="75"/>
      <c r="W174" s="75"/>
      <c r="X174" s="75"/>
      <c r="Y174" s="103"/>
      <c r="Z174" s="103"/>
      <c r="AA174" s="103"/>
      <c r="AB174" s="103"/>
      <c r="AC174" s="103"/>
      <c r="AD174" s="103"/>
      <c r="AE174" s="103"/>
    </row>
    <row r="175" spans="1:29" s="68" customFormat="1" ht="15" customHeight="1">
      <c r="A175" s="1"/>
      <c r="B175" s="49"/>
      <c r="C175" s="49"/>
      <c r="D175" s="49"/>
      <c r="E175" s="107"/>
      <c r="F175" s="107"/>
      <c r="G175" s="49"/>
      <c r="H175" s="49"/>
      <c r="I175" s="49"/>
      <c r="J175" s="49"/>
      <c r="K175" s="49"/>
      <c r="L175" s="50"/>
      <c r="M175" s="104"/>
      <c r="N175" s="104"/>
      <c r="X175" s="67"/>
      <c r="Y175" s="67"/>
      <c r="Z175" s="67"/>
      <c r="AA175" s="67"/>
      <c r="AB175" s="67"/>
      <c r="AC175" s="67"/>
    </row>
    <row r="176" spans="1:29" s="68" customFormat="1" ht="15" customHeight="1">
      <c r="A176" s="1"/>
      <c r="B176" s="49"/>
      <c r="C176" s="50"/>
      <c r="D176" s="50"/>
      <c r="E176" s="107"/>
      <c r="F176" s="107"/>
      <c r="G176" s="50"/>
      <c r="H176" s="50"/>
      <c r="I176" s="50"/>
      <c r="J176" s="50"/>
      <c r="K176" s="50"/>
      <c r="L176" s="50"/>
      <c r="M176" s="104"/>
      <c r="N176" s="104"/>
      <c r="X176" s="67"/>
      <c r="Y176" s="67"/>
      <c r="Z176" s="67"/>
      <c r="AA176" s="67"/>
      <c r="AB176" s="67"/>
      <c r="AC176" s="67"/>
    </row>
    <row r="177" spans="1:14" s="68" customFormat="1" ht="15" customHeight="1">
      <c r="A177" s="1"/>
      <c r="B177" s="54"/>
      <c r="C177" s="54"/>
      <c r="D177" s="54"/>
      <c r="E177" s="55"/>
      <c r="F177" s="56"/>
      <c r="G177" s="57"/>
      <c r="H177" s="57"/>
      <c r="I177" s="57"/>
      <c r="J177" s="57"/>
      <c r="K177" s="105"/>
      <c r="L177" s="105"/>
      <c r="M177" s="105"/>
      <c r="N177" s="105"/>
    </row>
    <row r="178" spans="1:14" s="68" customFormat="1" ht="15" customHeight="1">
      <c r="A178" s="1"/>
      <c r="B178" s="49" t="s">
        <v>64</v>
      </c>
      <c r="C178" s="50"/>
      <c r="D178" s="58"/>
      <c r="E178" s="109"/>
      <c r="F178" s="109"/>
      <c r="G178" s="58"/>
      <c r="H178" s="50"/>
      <c r="I178" s="50"/>
      <c r="J178" s="50" t="s">
        <v>65</v>
      </c>
      <c r="K178" s="50"/>
      <c r="L178" s="50"/>
      <c r="M178" s="47"/>
      <c r="N178" s="47"/>
    </row>
    <row r="179" spans="1:14" s="68" customFormat="1" ht="15" customHeight="1">
      <c r="A179" s="1"/>
      <c r="B179" s="49"/>
      <c r="C179" s="50"/>
      <c r="D179" s="58"/>
      <c r="E179" s="109"/>
      <c r="F179" s="109"/>
      <c r="G179" s="58"/>
      <c r="H179" s="50"/>
      <c r="I179" s="50"/>
      <c r="J179" s="50"/>
      <c r="K179" s="50"/>
      <c r="L179" s="50"/>
      <c r="M179" s="47"/>
      <c r="N179" s="47"/>
    </row>
    <row r="180" spans="1:14" s="68" customFormat="1" ht="15" customHeight="1">
      <c r="A180" s="1"/>
      <c r="B180" s="51" t="s">
        <v>66</v>
      </c>
      <c r="C180" s="51"/>
      <c r="D180" s="51"/>
      <c r="E180" s="108"/>
      <c r="F180" s="108"/>
      <c r="G180" s="51"/>
      <c r="H180" s="50"/>
      <c r="I180" s="51"/>
      <c r="J180" s="50" t="s">
        <v>67</v>
      </c>
      <c r="K180" s="50"/>
      <c r="L180" s="50"/>
      <c r="M180" s="47"/>
      <c r="N180" s="47"/>
    </row>
    <row r="181" spans="1:14" s="68" customFormat="1" ht="15" customHeight="1">
      <c r="A181" s="1"/>
      <c r="B181" s="49"/>
      <c r="C181" s="50"/>
      <c r="D181" s="50"/>
      <c r="E181" s="107"/>
      <c r="F181" s="107"/>
      <c r="G181" s="50"/>
      <c r="H181" s="50"/>
      <c r="I181" s="50"/>
      <c r="J181" s="50"/>
      <c r="K181" s="50"/>
      <c r="L181" s="50"/>
      <c r="M181" s="47"/>
      <c r="N181" s="47"/>
    </row>
    <row r="182" spans="1:14" s="68" customFormat="1" ht="15" customHeight="1">
      <c r="A182" s="1"/>
      <c r="B182" s="114" t="s">
        <v>96</v>
      </c>
      <c r="C182" s="49"/>
      <c r="D182" s="49"/>
      <c r="E182" s="50"/>
      <c r="F182" s="50"/>
      <c r="G182" s="49"/>
      <c r="H182" s="49"/>
      <c r="I182" s="49"/>
      <c r="J182" s="114" t="s">
        <v>193</v>
      </c>
      <c r="K182" s="49"/>
      <c r="L182" s="50"/>
      <c r="M182" s="104"/>
      <c r="N182" s="104"/>
    </row>
    <row r="183" spans="1:14" s="68" customFormat="1" ht="15" customHeight="1">
      <c r="A183" s="1"/>
      <c r="B183" s="49"/>
      <c r="C183" s="50"/>
      <c r="D183" s="50"/>
      <c r="E183" s="107"/>
      <c r="F183" s="107"/>
      <c r="G183" s="50"/>
      <c r="H183" s="50"/>
      <c r="I183" s="50"/>
      <c r="J183" s="50"/>
      <c r="K183" s="50"/>
      <c r="L183" s="50"/>
      <c r="M183" s="104"/>
      <c r="N183" s="104"/>
    </row>
    <row r="184" spans="1:14" s="68" customFormat="1" ht="15" customHeight="1">
      <c r="A184" s="1"/>
      <c r="B184" s="51" t="s">
        <v>138</v>
      </c>
      <c r="C184" s="108"/>
      <c r="D184" s="108"/>
      <c r="E184" s="108"/>
      <c r="F184" s="108"/>
      <c r="G184" s="51"/>
      <c r="H184" s="51"/>
      <c r="I184" s="51"/>
      <c r="J184" s="50" t="s">
        <v>206</v>
      </c>
      <c r="K184" s="50"/>
      <c r="L184" s="50"/>
      <c r="M184" s="104"/>
      <c r="N184" s="104"/>
    </row>
    <row r="185" spans="1:14" s="68" customFormat="1" ht="15" customHeight="1">
      <c r="A185" s="1"/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s="68" customFormat="1" ht="15" customHeight="1">
      <c r="A186" s="1"/>
      <c r="B186" s="52"/>
      <c r="C186" s="52"/>
      <c r="D186" s="52"/>
      <c r="E186" s="53"/>
      <c r="F186" s="53"/>
      <c r="G186" s="52"/>
      <c r="H186" s="52"/>
      <c r="I186" s="52"/>
      <c r="J186" s="52"/>
      <c r="K186" s="52"/>
      <c r="L186" s="52"/>
      <c r="M186" s="104"/>
      <c r="N186" s="104"/>
    </row>
    <row r="187" spans="1:14" s="68" customFormat="1" ht="15" customHeight="1">
      <c r="A187" s="1"/>
      <c r="B187" s="52"/>
      <c r="C187" s="52"/>
      <c r="D187" s="52"/>
      <c r="E187" s="53"/>
      <c r="F187" s="53"/>
      <c r="G187" s="52"/>
      <c r="H187" s="52"/>
      <c r="I187" s="52"/>
      <c r="J187" s="52"/>
      <c r="K187" s="52"/>
      <c r="L187" s="52"/>
      <c r="M187" s="104"/>
      <c r="N187" s="104"/>
    </row>
    <row r="188" spans="1:14" s="68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8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8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8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8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8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8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8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8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8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8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8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8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8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8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8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8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8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8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8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8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8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8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8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8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8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8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8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8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8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8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8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8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8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8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8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8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8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8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8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8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8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8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8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8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8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8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8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8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8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8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8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8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8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8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8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8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8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8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8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8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8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8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8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8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8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8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8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8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8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8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  <row r="259" spans="1:14" s="68" customFormat="1" ht="12.75">
      <c r="A259" s="1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</row>
    <row r="260" spans="1:14" s="68" customFormat="1" ht="12.75">
      <c r="A260" s="1"/>
      <c r="B260" s="2"/>
      <c r="C260" s="2"/>
      <c r="D260" s="2"/>
      <c r="E260" s="3"/>
      <c r="F260" s="3"/>
      <c r="G260" s="2"/>
      <c r="H260" s="2"/>
      <c r="I260" s="2"/>
      <c r="J260" s="2"/>
      <c r="K260" s="2"/>
      <c r="L260" s="2"/>
      <c r="M260" s="2"/>
      <c r="N260" s="2"/>
    </row>
    <row r="261" spans="1:14" s="68" customFormat="1" ht="12.75">
      <c r="A261" s="1"/>
      <c r="B261" s="2"/>
      <c r="C261" s="2"/>
      <c r="D261" s="2"/>
      <c r="E261" s="3"/>
      <c r="F261" s="3"/>
      <c r="G261" s="2"/>
      <c r="H261" s="2"/>
      <c r="I261" s="2"/>
      <c r="J261" s="2"/>
      <c r="K261" s="2"/>
      <c r="L261" s="2"/>
      <c r="M261" s="2"/>
      <c r="N261" s="2"/>
    </row>
    <row r="262" spans="1:14" s="68" customFormat="1" ht="12.75">
      <c r="A262" s="1"/>
      <c r="B262" s="2"/>
      <c r="C262" s="2"/>
      <c r="D262" s="2"/>
      <c r="E262" s="3"/>
      <c r="F262" s="3"/>
      <c r="G262" s="2"/>
      <c r="H262" s="2"/>
      <c r="I262" s="2"/>
      <c r="J262" s="2"/>
      <c r="K262" s="2"/>
      <c r="L262" s="2"/>
      <c r="M262" s="2"/>
      <c r="N262" s="2"/>
    </row>
    <row r="263" spans="1:14" s="68" customFormat="1" ht="12.75">
      <c r="A263" s="1"/>
      <c r="B263" s="2"/>
      <c r="C263" s="2"/>
      <c r="D263" s="2"/>
      <c r="E263" s="3"/>
      <c r="F263" s="3"/>
      <c r="G263" s="2"/>
      <c r="H263" s="2"/>
      <c r="I263" s="2"/>
      <c r="J263" s="2"/>
      <c r="K263" s="2"/>
      <c r="L263" s="2"/>
      <c r="M263" s="2"/>
      <c r="N263" s="2"/>
    </row>
    <row r="264" spans="1:14" s="68" customFormat="1" ht="12.75">
      <c r="A264" s="1"/>
      <c r="B264" s="2"/>
      <c r="C264" s="2"/>
      <c r="D264" s="2"/>
      <c r="E264" s="3"/>
      <c r="F264" s="3"/>
      <c r="G264" s="2"/>
      <c r="H264" s="2"/>
      <c r="I264" s="2"/>
      <c r="J264" s="2"/>
      <c r="K264" s="2"/>
      <c r="L264" s="2"/>
      <c r="M264" s="2"/>
      <c r="N264" s="2"/>
    </row>
    <row r="265" spans="1:14" s="68" customFormat="1" ht="12.75">
      <c r="A265" s="1"/>
      <c r="B265" s="2"/>
      <c r="C265" s="2"/>
      <c r="D265" s="2"/>
      <c r="E265" s="3"/>
      <c r="F265" s="3"/>
      <c r="G265" s="2"/>
      <c r="H265" s="2"/>
      <c r="I265" s="2"/>
      <c r="J265" s="2"/>
      <c r="K265" s="2"/>
      <c r="L265" s="2"/>
      <c r="M265" s="2"/>
      <c r="N265" s="2"/>
    </row>
    <row r="266" spans="1:14" s="68" customFormat="1" ht="12.75">
      <c r="A266" s="1"/>
      <c r="B266" s="2"/>
      <c r="C266" s="2"/>
      <c r="D266" s="2"/>
      <c r="E266" s="3"/>
      <c r="F266" s="3"/>
      <c r="G266" s="2"/>
      <c r="H266" s="2"/>
      <c r="I266" s="2"/>
      <c r="J266" s="2"/>
      <c r="K266" s="2"/>
      <c r="L266" s="2"/>
      <c r="M266" s="2"/>
      <c r="N266" s="2"/>
    </row>
    <row r="267" spans="1:14" s="68" customFormat="1" ht="12.75">
      <c r="A267" s="1"/>
      <c r="B267" s="2"/>
      <c r="C267" s="2"/>
      <c r="D267" s="2"/>
      <c r="E267" s="3"/>
      <c r="F267" s="3"/>
      <c r="G267" s="2"/>
      <c r="H267" s="2"/>
      <c r="I267" s="2"/>
      <c r="J267" s="2"/>
      <c r="K267" s="2"/>
      <c r="L267" s="2"/>
      <c r="M267" s="2"/>
      <c r="N267" s="2"/>
    </row>
    <row r="268" spans="1:14" s="68" customFormat="1" ht="12.75">
      <c r="A268" s="1"/>
      <c r="B268" s="2"/>
      <c r="C268" s="2"/>
      <c r="D268" s="2"/>
      <c r="E268" s="3"/>
      <c r="F268" s="3"/>
      <c r="G268" s="2"/>
      <c r="H268" s="2"/>
      <c r="I268" s="2"/>
      <c r="J268" s="2"/>
      <c r="K268" s="2"/>
      <c r="L268" s="2"/>
      <c r="M268" s="2"/>
      <c r="N268" s="2"/>
    </row>
    <row r="269" spans="1:14" s="68" customFormat="1" ht="12.75">
      <c r="A269" s="1"/>
      <c r="B269" s="2"/>
      <c r="C269" s="2"/>
      <c r="D269" s="2"/>
      <c r="E269" s="3"/>
      <c r="F269" s="3"/>
      <c r="G269" s="2"/>
      <c r="H269" s="2"/>
      <c r="I269" s="2"/>
      <c r="J269" s="2"/>
      <c r="K269" s="2"/>
      <c r="L269" s="2"/>
      <c r="M269" s="2"/>
      <c r="N269" s="2"/>
    </row>
    <row r="270" spans="1:14" s="68" customFormat="1" ht="12.75">
      <c r="A270" s="1"/>
      <c r="B270" s="2"/>
      <c r="C270" s="2"/>
      <c r="D270" s="2"/>
      <c r="E270" s="3"/>
      <c r="F270" s="3"/>
      <c r="G270" s="2"/>
      <c r="H270" s="2"/>
      <c r="I270" s="2"/>
      <c r="J270" s="2"/>
      <c r="K270" s="2"/>
      <c r="L270" s="2"/>
      <c r="M270" s="2"/>
      <c r="N270" s="2"/>
    </row>
    <row r="271" spans="1:14" s="68" customFormat="1" ht="12.75">
      <c r="A271" s="1"/>
      <c r="B271" s="2"/>
      <c r="C271" s="2"/>
      <c r="D271" s="2"/>
      <c r="E271" s="3"/>
      <c r="F271" s="3"/>
      <c r="G271" s="2"/>
      <c r="H271" s="2"/>
      <c r="I271" s="2"/>
      <c r="J271" s="2"/>
      <c r="K271" s="2"/>
      <c r="L271" s="2"/>
      <c r="M271" s="2"/>
      <c r="N271" s="2"/>
    </row>
    <row r="272" spans="1:14" s="68" customFormat="1" ht="12.75">
      <c r="A272" s="1"/>
      <c r="B272" s="2"/>
      <c r="C272" s="2"/>
      <c r="D272" s="2"/>
      <c r="E272" s="3"/>
      <c r="F272" s="3"/>
      <c r="G272" s="2"/>
      <c r="H272" s="2"/>
      <c r="I272" s="2"/>
      <c r="J272" s="2"/>
      <c r="K272" s="2"/>
      <c r="L272" s="2"/>
      <c r="M272" s="2"/>
      <c r="N272" s="2"/>
    </row>
    <row r="273" spans="1:14" s="68" customFormat="1" ht="12.75">
      <c r="A273" s="1"/>
      <c r="B273" s="2"/>
      <c r="C273" s="2"/>
      <c r="D273" s="2"/>
      <c r="E273" s="3"/>
      <c r="F273" s="3"/>
      <c r="G273" s="2"/>
      <c r="H273" s="2"/>
      <c r="I273" s="2"/>
      <c r="J273" s="2"/>
      <c r="K273" s="2"/>
      <c r="L273" s="2"/>
      <c r="M273" s="2"/>
      <c r="N273" s="2"/>
    </row>
    <row r="274" spans="1:14" s="68" customFormat="1" ht="12.75">
      <c r="A274" s="1"/>
      <c r="B274" s="2"/>
      <c r="C274" s="2"/>
      <c r="D274" s="2"/>
      <c r="E274" s="3"/>
      <c r="F274" s="3"/>
      <c r="G274" s="2"/>
      <c r="H274" s="2"/>
      <c r="I274" s="2"/>
      <c r="J274" s="2"/>
      <c r="K274" s="2"/>
      <c r="L274" s="2"/>
      <c r="M274" s="2"/>
      <c r="N274" s="2"/>
    </row>
    <row r="275" spans="1:14" s="68" customFormat="1" ht="12.75">
      <c r="A275" s="1"/>
      <c r="B275" s="2"/>
      <c r="C275" s="2"/>
      <c r="D275" s="2"/>
      <c r="E275" s="3"/>
      <c r="F275" s="3"/>
      <c r="G275" s="2"/>
      <c r="H275" s="2"/>
      <c r="I275" s="2"/>
      <c r="J275" s="2"/>
      <c r="K275" s="2"/>
      <c r="L275" s="2"/>
      <c r="M275" s="2"/>
      <c r="N275" s="2"/>
    </row>
    <row r="276" spans="1:14" s="68" customFormat="1" ht="12.75">
      <c r="A276" s="1"/>
      <c r="B276" s="2"/>
      <c r="C276" s="2"/>
      <c r="D276" s="2"/>
      <c r="E276" s="3"/>
      <c r="F276" s="3"/>
      <c r="G276" s="2"/>
      <c r="H276" s="2"/>
      <c r="I276" s="2"/>
      <c r="J276" s="2"/>
      <c r="K276" s="2"/>
      <c r="L276" s="2"/>
      <c r="M276" s="2"/>
      <c r="N276" s="2"/>
    </row>
    <row r="277" spans="1:14" s="68" customFormat="1" ht="12.75">
      <c r="A277" s="1"/>
      <c r="B277" s="2"/>
      <c r="C277" s="2"/>
      <c r="D277" s="2"/>
      <c r="E277" s="3"/>
      <c r="F277" s="3"/>
      <c r="G277" s="2"/>
      <c r="H277" s="2"/>
      <c r="I277" s="2"/>
      <c r="J277" s="2"/>
      <c r="K277" s="2"/>
      <c r="L277" s="2"/>
      <c r="M277" s="2"/>
      <c r="N277" s="2"/>
    </row>
    <row r="278" spans="1:14" s="68" customFormat="1" ht="12.75">
      <c r="A278" s="1"/>
      <c r="B278" s="2"/>
      <c r="C278" s="2"/>
      <c r="D278" s="2"/>
      <c r="E278" s="3"/>
      <c r="F278" s="3"/>
      <c r="G278" s="2"/>
      <c r="H278" s="2"/>
      <c r="I278" s="2"/>
      <c r="J278" s="2"/>
      <c r="K278" s="2"/>
      <c r="L278" s="2"/>
      <c r="M278" s="2"/>
      <c r="N278" s="2"/>
    </row>
    <row r="279" spans="1:14" s="68" customFormat="1" ht="12.75">
      <c r="A279" s="1"/>
      <c r="B279" s="2"/>
      <c r="C279" s="2"/>
      <c r="D279" s="2"/>
      <c r="E279" s="3"/>
      <c r="F279" s="3"/>
      <c r="G279" s="2"/>
      <c r="H279" s="2"/>
      <c r="I279" s="2"/>
      <c r="J279" s="2"/>
      <c r="K279" s="2"/>
      <c r="L279" s="2"/>
      <c r="M279" s="2"/>
      <c r="N279" s="2"/>
    </row>
    <row r="280" spans="1:14" s="68" customFormat="1" ht="12.75">
      <c r="A280" s="1"/>
      <c r="B280" s="2"/>
      <c r="C280" s="2"/>
      <c r="D280" s="2"/>
      <c r="E280" s="3"/>
      <c r="F280" s="3"/>
      <c r="G280" s="2"/>
      <c r="H280" s="2"/>
      <c r="I280" s="2"/>
      <c r="J280" s="2"/>
      <c r="K280" s="2"/>
      <c r="L280" s="2"/>
      <c r="M280" s="2"/>
      <c r="N280" s="2"/>
    </row>
    <row r="281" spans="1:14" s="68" customFormat="1" ht="12.75">
      <c r="A281" s="1"/>
      <c r="B281" s="2"/>
      <c r="C281" s="2"/>
      <c r="D281" s="2"/>
      <c r="E281" s="3"/>
      <c r="F281" s="3"/>
      <c r="G281" s="2"/>
      <c r="H281" s="2"/>
      <c r="I281" s="2"/>
      <c r="J281" s="2"/>
      <c r="K281" s="2"/>
      <c r="L281" s="2"/>
      <c r="M281" s="2"/>
      <c r="N281" s="2"/>
    </row>
    <row r="282" spans="1:14" s="68" customFormat="1" ht="12.75">
      <c r="A282" s="1"/>
      <c r="B282" s="2"/>
      <c r="C282" s="2"/>
      <c r="D282" s="2"/>
      <c r="E282" s="3"/>
      <c r="F282" s="3"/>
      <c r="G282" s="2"/>
      <c r="H282" s="2"/>
      <c r="I282" s="2"/>
      <c r="J282" s="2"/>
      <c r="K282" s="2"/>
      <c r="L282" s="2"/>
      <c r="M282" s="2"/>
      <c r="N282" s="2"/>
    </row>
    <row r="283" spans="1:14" s="68" customFormat="1" ht="12.75">
      <c r="A283" s="1"/>
      <c r="B283" s="2"/>
      <c r="C283" s="2"/>
      <c r="D283" s="2"/>
      <c r="E283" s="3"/>
      <c r="F283" s="3"/>
      <c r="G283" s="2"/>
      <c r="H283" s="2"/>
      <c r="I283" s="2"/>
      <c r="J283" s="2"/>
      <c r="K283" s="2"/>
      <c r="L283" s="2"/>
      <c r="M283" s="2"/>
      <c r="N283" s="2"/>
    </row>
    <row r="284" spans="1:14" s="68" customFormat="1" ht="12.75">
      <c r="A284" s="1"/>
      <c r="B284" s="2"/>
      <c r="C284" s="2"/>
      <c r="D284" s="2"/>
      <c r="E284" s="3"/>
      <c r="F284" s="3"/>
      <c r="G284" s="2"/>
      <c r="H284" s="2"/>
      <c r="I284" s="2"/>
      <c r="J284" s="2"/>
      <c r="K284" s="2"/>
      <c r="L284" s="2"/>
      <c r="M284" s="2"/>
      <c r="N284" s="2"/>
    </row>
    <row r="285" spans="1:14" s="68" customFormat="1" ht="12.75">
      <c r="A285" s="1"/>
      <c r="B285" s="2"/>
      <c r="C285" s="2"/>
      <c r="D285" s="2"/>
      <c r="E285" s="3"/>
      <c r="F285" s="3"/>
      <c r="G285" s="2"/>
      <c r="H285" s="2"/>
      <c r="I285" s="2"/>
      <c r="J285" s="2"/>
      <c r="K285" s="2"/>
      <c r="L285" s="2"/>
      <c r="M285" s="2"/>
      <c r="N285" s="2"/>
    </row>
    <row r="286" spans="1:14" s="68" customFormat="1" ht="12.75">
      <c r="A286" s="1"/>
      <c r="B286" s="2"/>
      <c r="C286" s="2"/>
      <c r="D286" s="2"/>
      <c r="E286" s="3"/>
      <c r="F286" s="3"/>
      <c r="G286" s="2"/>
      <c r="H286" s="2"/>
      <c r="I286" s="2"/>
      <c r="J286" s="2"/>
      <c r="K286" s="2"/>
      <c r="L286" s="2"/>
      <c r="M286" s="2"/>
      <c r="N286" s="2"/>
    </row>
    <row r="287" spans="1:14" s="68" customFormat="1" ht="12.75">
      <c r="A287" s="1"/>
      <c r="B287" s="2"/>
      <c r="C287" s="2"/>
      <c r="D287" s="2"/>
      <c r="E287" s="3"/>
      <c r="F287" s="3"/>
      <c r="G287" s="2"/>
      <c r="H287" s="2"/>
      <c r="I287" s="2"/>
      <c r="J287" s="2"/>
      <c r="K287" s="2"/>
      <c r="L287" s="2"/>
      <c r="M287" s="2"/>
      <c r="N287" s="2"/>
    </row>
    <row r="288" spans="1:14" s="68" customFormat="1" ht="12.75">
      <c r="A288" s="1"/>
      <c r="B288" s="2"/>
      <c r="C288" s="2"/>
      <c r="D288" s="2"/>
      <c r="E288" s="3"/>
      <c r="F288" s="3"/>
      <c r="G288" s="2"/>
      <c r="H288" s="2"/>
      <c r="I288" s="2"/>
      <c r="J288" s="2"/>
      <c r="K288" s="2"/>
      <c r="L288" s="2"/>
      <c r="M288" s="2"/>
      <c r="N288" s="2"/>
    </row>
    <row r="289" spans="1:14" s="68" customFormat="1" ht="12.75">
      <c r="A289" s="1"/>
      <c r="B289" s="2"/>
      <c r="C289" s="2"/>
      <c r="D289" s="2"/>
      <c r="E289" s="3"/>
      <c r="F289" s="3"/>
      <c r="G289" s="2"/>
      <c r="H289" s="2"/>
      <c r="I289" s="2"/>
      <c r="J289" s="2"/>
      <c r="K289" s="2"/>
      <c r="L289" s="2"/>
      <c r="M289" s="2"/>
      <c r="N289" s="2"/>
    </row>
    <row r="290" spans="1:14" s="68" customFormat="1" ht="12.75">
      <c r="A290" s="1"/>
      <c r="B290" s="2"/>
      <c r="C290" s="2"/>
      <c r="D290" s="2"/>
      <c r="E290" s="3"/>
      <c r="F290" s="3"/>
      <c r="G290" s="2"/>
      <c r="H290" s="2"/>
      <c r="I290" s="2"/>
      <c r="J290" s="2"/>
      <c r="K290" s="2"/>
      <c r="L290" s="2"/>
      <c r="M290" s="2"/>
      <c r="N290" s="2"/>
    </row>
    <row r="291" spans="1:14" s="68" customFormat="1" ht="12.75">
      <c r="A291" s="1"/>
      <c r="B291" s="2"/>
      <c r="C291" s="2"/>
      <c r="D291" s="2"/>
      <c r="E291" s="3"/>
      <c r="F291" s="3"/>
      <c r="G291" s="2"/>
      <c r="H291" s="2"/>
      <c r="I291" s="2"/>
      <c r="J291" s="2"/>
      <c r="K291" s="2"/>
      <c r="L291" s="2"/>
      <c r="M291" s="2"/>
      <c r="N291" s="2"/>
    </row>
  </sheetData>
  <sheetProtection/>
  <mergeCells count="57"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  <mergeCell ref="M10:N11"/>
    <mergeCell ref="O10:T10"/>
    <mergeCell ref="I11:J11"/>
    <mergeCell ref="K11:L11"/>
    <mergeCell ref="B10:B11"/>
    <mergeCell ref="C10:D11"/>
    <mergeCell ref="E10:F11"/>
    <mergeCell ref="G10:L10"/>
    <mergeCell ref="O160:T160"/>
    <mergeCell ref="U160:X160"/>
    <mergeCell ref="G161:H161"/>
    <mergeCell ref="S161:T161"/>
    <mergeCell ref="U161:V161"/>
    <mergeCell ref="B160:D162"/>
    <mergeCell ref="E160:F161"/>
    <mergeCell ref="G160:L160"/>
    <mergeCell ref="M160:N161"/>
    <mergeCell ref="I171:J172"/>
    <mergeCell ref="K171:L172"/>
    <mergeCell ref="W161:X161"/>
    <mergeCell ref="B163:D163"/>
    <mergeCell ref="I161:J161"/>
    <mergeCell ref="K161:L161"/>
    <mergeCell ref="O161:P161"/>
    <mergeCell ref="Q161:R161"/>
    <mergeCell ref="B164:D164"/>
    <mergeCell ref="B171:B172"/>
    <mergeCell ref="C171:F172"/>
    <mergeCell ref="G171:H172"/>
    <mergeCell ref="M173:N173"/>
    <mergeCell ref="O173:P173"/>
    <mergeCell ref="M171:R171"/>
    <mergeCell ref="C173:F173"/>
    <mergeCell ref="G173:H173"/>
    <mergeCell ref="I173:J173"/>
    <mergeCell ref="K173:L173"/>
    <mergeCell ref="Q173:R173"/>
    <mergeCell ref="M172:N172"/>
    <mergeCell ref="O172:P172"/>
    <mergeCell ref="Q172:R172"/>
    <mergeCell ref="C174:F174"/>
    <mergeCell ref="G174:H174"/>
    <mergeCell ref="I174:J174"/>
    <mergeCell ref="K174:L174"/>
    <mergeCell ref="M174:N174"/>
    <mergeCell ref="O174:P174"/>
    <mergeCell ref="Q174:R174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2018-07-02T12:39:32Z</cp:lastPrinted>
  <dcterms:modified xsi:type="dcterms:W3CDTF">2018-07-05T04:52:37Z</dcterms:modified>
  <cp:category/>
  <cp:version/>
  <cp:contentType/>
  <cp:contentStatus/>
</cp:coreProperties>
</file>